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ORDOBA\"/>
    </mc:Choice>
  </mc:AlternateContent>
  <workbookProtection workbookAlgorithmName="SHA-512" workbookHashValue="gyGKXgGaAritrKLQdVNyiBGQwHcJhGPWLvBQVJBDd34nTEtG2pKgEbtJ+x9UCsT/KutwMIQAGKmqZXFP0Xf7WA==" workbookSaltValue="aeDy7Rfbs6Waz9uDyPHec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M13" i="2"/>
  <c r="N13" i="2"/>
  <c r="T13" i="12"/>
  <c r="V11" i="11"/>
  <c r="BI15" i="11"/>
  <c r="BG15" i="11"/>
  <c r="AP17" i="20"/>
  <c r="BU10" i="17"/>
  <c r="BW11" i="20"/>
  <c r="BU16" i="17"/>
  <c r="T13" i="16"/>
  <c r="AZ12" i="11"/>
  <c r="BH10" i="11"/>
  <c r="BH10" i="16"/>
  <c r="BH16" i="11"/>
  <c r="T13" i="20"/>
  <c r="BF15" i="8"/>
  <c r="BF9" i="8"/>
  <c r="AU18" i="21"/>
  <c r="AH13" i="16"/>
  <c r="L16" i="2"/>
  <c r="U9" i="17"/>
  <c r="U19" i="17" s="1"/>
  <c r="AP13" i="16"/>
  <c r="T18" i="17"/>
  <c r="BG15" i="13"/>
  <c r="BE16" i="13"/>
  <c r="BE15" i="13"/>
  <c r="AX20" i="20"/>
  <c r="S19" i="8" l="1"/>
  <c r="AB13" i="21"/>
  <c r="BG10" i="8"/>
  <c r="M18" i="2"/>
  <c r="N18" i="2"/>
  <c r="K18" i="2"/>
  <c r="H10" i="2"/>
  <c r="T9" i="11"/>
  <c r="V9" i="16"/>
  <c r="L9" i="2"/>
  <c r="X10" i="21"/>
  <c r="BJ16" i="11"/>
  <c r="BM17" i="11"/>
  <c r="AQ10" i="21"/>
  <c r="BG12" i="11"/>
  <c r="BW10" i="20"/>
  <c r="BW12" i="20"/>
  <c r="BU11" i="17"/>
  <c r="BK17" i="11"/>
  <c r="BJ12" i="11"/>
  <c r="BM12" i="11"/>
  <c r="BF10" i="11"/>
  <c r="BM16" i="11"/>
  <c r="BH11" i="16"/>
  <c r="AL16" i="11"/>
  <c r="C16" i="6"/>
  <c r="BE9" i="13"/>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G18" i="14"/>
  <c r="AV20" i="20"/>
  <c r="AE20" i="20"/>
  <c r="AB20" i="20"/>
  <c r="Y20" i="20"/>
  <c r="I20" i="20"/>
  <c r="W20" i="21"/>
  <c r="AZ20" i="20"/>
  <c r="J20" i="20"/>
  <c r="R20" i="20"/>
  <c r="U10" i="11"/>
  <c r="U16" i="11"/>
  <c r="AM20" i="20"/>
  <c r="G13" i="14"/>
  <c r="X20" i="20"/>
  <c r="P20" i="20"/>
  <c r="L20" i="20"/>
  <c r="AN20" i="20"/>
  <c r="M20" i="20"/>
  <c r="AO20" i="20"/>
  <c r="AA20" i="20"/>
  <c r="T20" i="21"/>
  <c r="N20" i="20"/>
  <c r="AJ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D19" i="12"/>
  <c r="AL19" i="21"/>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<sst xmlns="http://schemas.openxmlformats.org/spreadsheetml/2006/main" count="2102" uniqueCount="918">
  <si>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</si>
  <si>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</si>
  <si>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</si>
  <si>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</si>
  <si>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</si>
  <si>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</si>
  <si>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</si>
  <si>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</si>
  <si>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</si>
  <si>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</si>
  <si>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</si>
  <si>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</si>
  <si>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</si>
  <si>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</si>
  <si>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</si>
  <si>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</si>
  <si>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</si>
  <si>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</si>
  <si>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</si>
  <si>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</si>
  <si>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</si>
  <si>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</si>
  <si>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</si>
  <si>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</si>
  <si>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</si>
  <si>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</si>
  <si>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</si>
  <si>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</si>
  <si>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</si>
  <si>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</si>
  <si>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</si>
  <si>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</si>
  <si>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</si>
  <si>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</si>
  <si>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</si>
  <si>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</si>
  <si>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</si>
  <si>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</si>
  <si>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</si>
  <si>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</si>
  <si>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</si>
  <si>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</si>
  <si>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</si>
  <si>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</si>
  <si>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</si>
  <si>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</si>
  <si>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</si>
  <si>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</si>
  <si>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</si>
  <si>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</si>
  <si>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</si>
  <si>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</si>
  <si>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</si>
  <si>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</si>
  <si>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</si>
  <si>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</si>
  <si>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</si>
  <si>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</si>
  <si>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</si>
  <si>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</si>
  <si>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</si>
  <si>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</si>
  <si>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</si>
  <si>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</si>
  <si>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</si>
  <si>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</si>
  <si>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</si>
  <si>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</si>
  <si>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</si>
  <si>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</si>
  <si>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</si>
  <si>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</si>
  <si>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</si>
  <si>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</si>
  <si>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</si>
  <si>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</si>
  <si>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</si>
  <si>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</si>
  <si>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</si>
  <si>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</si>
  <si>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</si>
  <si>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</si>
  <si>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</si>
  <si>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</si>
  <si>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</si>
  <si>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</si>
  <si>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</si>
  <si>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</si>
  <si>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</si>
  <si>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</si>
  <si>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</si>
  <si>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</si>
  <si>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</si>
  <si>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</si>
  <si>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</si>
  <si>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</si>
  <si>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</si>
  <si>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</si>
  <si>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</si>
  <si>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</si>
  <si>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</si>
  <si>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</si>
  <si>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</si>
  <si>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</si>
  <si>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</si>
  <si>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</si>
  <si>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</si>
  <si>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</si>
  <si>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</si>
  <si>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</si>
  <si>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</si>
  <si>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</si>
  <si>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</si>
  <si>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</si>
  <si>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</si>
  <si>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</si>
  <si>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</si>
  <si>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</si>
  <si>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</si>
  <si>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</si>
  <si>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</si>
  <si>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</si>
  <si>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</si>
  <si>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</si>
  <si>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</si>
  <si>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</si>
  <si>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</si>
  <si>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</si>
  <si>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</si>
  <si>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</si>
  <si>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</si>
  <si>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</si>
  <si>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</si>
  <si>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</si>
  <si>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</si>
  <si>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</si>
  <si>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</si>
  <si>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</si>
  <si>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</si>
  <si>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</si>
  <si>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</si>
  <si>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</si>
  <si>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</si>
  <si>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</si>
  <si>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</si>
  <si>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</si>
  <si>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</si>
  <si>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</si>
  <si>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</si>
  <si>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</si>
  <si>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</si>
  <si>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</si>
  <si>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</si>
  <si>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</si>
  <si>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</si>
  <si>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</si>
  <si>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</si>
  <si>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</si>
  <si>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</si>
  <si>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</si>
  <si>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</si>
  <si>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</si>
  <si>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</si>
  <si>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</si>
  <si>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</si>
  <si>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</si>
  <si>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</si>
  <si>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</si>
  <si>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</si>
  <si>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</si>
  <si>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</si>
  <si>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</si>
  <si>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</si>
  <si>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</si>
  <si>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</si>
  <si>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</si>
  <si>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</si>
  <si>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</si>
  <si>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</si>
  <si>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</si>
  <si>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</si>
  <si>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</si>
  <si>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</si>
  <si>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</si>
  <si>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</si>
  <si>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</si>
  <si>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</si>
  <si>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</si>
  <si>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</si>
  <si>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</si>
  <si>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</si>
  <si>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</si>
  <si>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</si>
  <si>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</si>
  <si>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</si>
  <si>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</si>
  <si>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</si>
  <si>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</si>
  <si>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</si>
  <si>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</si>
  <si>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</si>
  <si>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</si>
  <si>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</si>
  <si>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</si>
  <si>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</si>
  <si>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</si>
  <si>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</si>
  <si>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</si>
  <si>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</si>
  <si>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</si>
  <si>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</si>
  <si>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</si>
  <si>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</si>
  <si>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</si>
  <si>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</si>
  <si>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</si>
  <si>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</si>
  <si>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</si>
  <si>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</si>
  <si>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</si>
  <si>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</si>
  <si>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</si>
  <si>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</si>
  <si>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</si>
  <si>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</si>
  <si>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</si>
  <si>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</si>
  <si>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</si>
  <si>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</si>
  <si>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</si>
  <si>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</si>
  <si>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</si>
  <si>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</si>
  <si>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</si>
  <si>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</si>
  <si>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</si>
  <si>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</si>
  <si>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</si>
  <si>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</si>
  <si>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</si>
  <si>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</si>
  <si>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</si>
  <si>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</si>
  <si>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</si>
  <si>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</si>
  <si>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</si>
  <si>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</si>
  <si>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</si>
  <si>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</si>
  <si>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</si>
  <si>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</si>
  <si>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</si>
  <si>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</si>
  <si>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</si>
  <si>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</si>
  <si>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</si>
  <si>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</si>
  <si>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</si>
  <si>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</si>
  <si>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</si>
  <si>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</si>
  <si>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</si>
  <si>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</si>
  <si>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</si>
  <si>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</si>
  <si>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</si>
  <si>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</si>
  <si>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</si>
  <si>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</si>
  <si>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</si>
  <si>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</si>
  <si>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</si>
  <si>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</si>
  <si>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</si>
  <si>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</si>
  <si>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</si>
  <si>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</si>
  <si>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</si>
  <si>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</si>
  <si>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</si>
  <si>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</si>
  <si>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</si>
  <si>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</si>
  <si>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</si>
  <si>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</si>
  <si>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</si>
  <si>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</si>
  <si>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</si>
  <si>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</si>
  <si>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</si>
  <si>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</si>
  <si>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</si>
  <si>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</si>
  <si>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</si>
  <si>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</si>
  <si>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</si>
  <si>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</si>
  <si>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</si>
  <si>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</si>
  <si>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</si>
  <si>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</si>
  <si>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</si>
  <si>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</si>
  <si>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</si>
  <si>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</si>
  <si>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</si>
  <si>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</si>
  <si>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</si>
  <si>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</si>
  <si>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</si>
  <si>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</si>
  <si>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</si>
  <si>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</si>
  <si>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</si>
  <si>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</si>
  <si>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</si>
  <si>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</si>
  <si>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</si>
  <si>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</si>
  <si>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</si>
  <si>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</si>
  <si>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</si>
  <si>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</si>
  <si>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</si>
  <si>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</si>
  <si>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</si>
  <si>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</si>
  <si>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</si>
  <si>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</si>
  <si>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</si>
  <si>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</si>
  <si>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</si>
  <si>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</si>
  <si>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</si>
  <si>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</si>
  <si>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</si>
  <si>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</si>
  <si>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</si>
  <si>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</si>
  <si>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</si>
  <si>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</si>
  <si>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</si>
  <si>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</si>
  <si>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</si>
  <si>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</si>
  <si>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</si>
  <si>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</si>
  <si>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</si>
  <si>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</si>
  <si>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</si>
  <si>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</si>
  <si>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</si>
  <si>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</si>
  <si>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</si>
  <si>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</si>
  <si>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</si>
  <si>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</si>
  <si>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</si>
  <si>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</si>
  <si>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</si>
  <si>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</si>
  <si>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</si>
  <si>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</si>
  <si>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</si>
  <si>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</si>
  <si>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</si>
  <si>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</si>
  <si>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</si>
  <si>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</si>
  <si>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</si>
  <si>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</si>
  <si>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</si>
  <si>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</si>
  <si>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</si>
  <si>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</si>
  <si>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</si>
  <si>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</si>
  <si>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</si>
  <si>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</si>
  <si>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</si>
  <si>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</si>
  <si>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</si>
  <si>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</si>
  <si>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</si>
  <si>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</si>
  <si>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</si>
  <si>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</si>
  <si>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</si>
  <si>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</si>
  <si>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</si>
  <si>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</si>
  <si>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</si>
  <si>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</si>
  <si>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</si>
  <si>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</si>
  <si>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</si>
  <si>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</si>
  <si>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</si>
  <si>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</si>
  <si>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</si>
  <si>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</si>
  <si>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</si>
  <si>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</si>
  <si>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</si>
  <si>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</si>
  <si>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</si>
  <si>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</si>
  <si>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</si>
  <si>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</si>
  <si>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</si>
  <si>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</si>
  <si>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</si>
  <si>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</si>
  <si>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</si>
  <si>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</si>
  <si>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</si>
  <si>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</si>
  <si>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</si>
  <si>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</si>
  <si>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</si>
  <si>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</si>
  <si>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</si>
  <si>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</si>
  <si>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</si>
  <si>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</si>
  <si>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</si>
  <si>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</si>
  <si>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</si>
  <si>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</si>
  <si>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</si>
  <si>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</si>
  <si>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</si>
  <si>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</si>
  <si>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</si>
  <si>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</si>
  <si>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</si>
  <si>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</si>
  <si>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</si>
  <si>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</si>
  <si>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</si>
  <si>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</si>
  <si>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</si>
  <si>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</si>
  <si>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</si>
  <si>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</si>
  <si>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</si>
  <si>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</si>
  <si>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</si>
  <si>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</si>
  <si>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</si>
  <si>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</si>
  <si>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</si>
  <si>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</si>
  <si>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</si>
  <si>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</si>
  <si>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</si>
  <si>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</si>
  <si>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</si>
  <si>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</si>
  <si>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</si>
  <si>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</si>
  <si>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</si>
  <si>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</si>
  <si>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</si>
  <si>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</si>
  <si>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</si>
  <si>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</si>
  <si>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</si>
  <si>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</si>
  <si>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</si>
  <si>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</si>
  <si>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</si>
  <si>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</si>
  <si>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</si>
  <si>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</si>
  <si>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</si>
  <si>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</si>
  <si>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</si>
  <si>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</si>
  <si>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</si>
  <si>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</si>
  <si>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</si>
  <si>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</si>
  <si>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</si>
  <si>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</si>
  <si>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</si>
  <si>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</si>
  <si>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</si>
  <si>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</si>
  <si>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</si>
  <si>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</si>
  <si>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</si>
  <si>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</si>
  <si>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</si>
  <si>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</si>
  <si>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</si>
  <si>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</si>
  <si>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</si>
  <si>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</si>
  <si>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</si>
  <si>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</si>
  <si>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</si>
  <si>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</si>
  <si>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</si>
  <si>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</si>
  <si>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</si>
  <si>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</si>
  <si>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</si>
  <si>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</si>
  <si>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</si>
  <si>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</si>
  <si>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</si>
  <si>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</si>
  <si>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</si>
  <si>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</si>
  <si>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</si>
  <si>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</si>
  <si>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</si>
  <si>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</si>
  <si>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</si>
  <si>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</si>
  <si>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</si>
  <si>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</si>
  <si>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</si>
  <si>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</si>
  <si>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</si>
  <si>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</si>
  <si>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</si>
  <si>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</si>
  <si>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</si>
  <si>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</si>
  <si>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</si>
  <si>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</si>
  <si>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</si>
  <si>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</si>
  <si>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</si>
  <si>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</si>
  <si>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</si>
  <si>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</si>
  <si>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</si>
  <si>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</si>
  <si>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</si>
  <si>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</si>
  <si>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</si>
  <si>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</si>
  <si>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</si>
  <si>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</si>
  <si>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</si>
  <si>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</si>
  <si>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</si>
  <si>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</si>
  <si>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</si>
  <si>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</si>
  <si>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</si>
  <si>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</si>
  <si>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</si>
  <si>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</si>
  <si>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</si>
  <si>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</si>
  <si>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</si>
  <si>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</si>
  <si>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</si>
  <si>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</si>
  <si>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</si>
  <si>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</si>
  <si>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</si>
  <si>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</si>
  <si>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</si>
  <si>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</si>
  <si>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</si>
  <si>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</si>
  <si>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</si>
  <si>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</si>
  <si>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</si>
  <si>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</si>
  <si>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</si>
  <si>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</si>
  <si>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</si>
  <si>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</si>
  <si>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</si>
  <si>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</si>
  <si>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</si>
  <si>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</si>
  <si>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</si>
  <si>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</si>
  <si>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</si>
  <si>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</si>
  <si>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</si>
  <si>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</si>
  <si>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</si>
  <si>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</si>
  <si>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</si>
  <si>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</si>
  <si>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</si>
  <si>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</si>
  <si>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</si>
  <si>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</si>
  <si>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</si>
  <si>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</si>
  <si>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</si>
  <si>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</si>
  <si>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</si>
  <si>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</si>
  <si>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</si>
  <si>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</si>
  <si>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</si>
  <si>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</si>
  <si>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</si>
  <si>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</si>
  <si>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</si>
  <si>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</si>
  <si>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</si>
  <si>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</si>
  <si>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</si>
  <si>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</si>
  <si>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</si>
  <si>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</si>
  <si>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</si>
  <si>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</si>
  <si>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</si>
  <si>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</si>
  <si>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</si>
  <si>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</si>
  <si>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</si>
  <si>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</si>
  <si>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</si>
  <si>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</si>
  <si>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</si>
  <si>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</si>
  <si>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</si>
  <si>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</si>
  <si>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</si>
  <si>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</si>
  <si>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</si>
  <si>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</si>
  <si>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</si>
  <si>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</si>
  <si>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</si>
  <si>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</si>
  <si>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</si>
  <si>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</si>
  <si>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</si>
  <si>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</si>
  <si>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</si>
  <si>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</si>
  <si>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</si>
  <si>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</si>
  <si>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</si>
  <si>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</si>
  <si>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</si>
  <si>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</si>
  <si>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</si>
  <si>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</si>
  <si>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</si>
  <si>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</si>
  <si>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</si>
  <si>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</si>
  <si>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</si>
  <si>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</si>
  <si>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</si>
  <si>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</si>
  <si>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</si>
  <si>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</si>
  <si>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</si>
  <si>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</si>
  <si>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</si>
  <si>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</si>
  <si>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</si>
  <si>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</si>
  <si>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</si>
  <si>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</si>
  <si>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</si>
  <si>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</si>
  <si>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</si>
  <si>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</si>
  <si>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</si>
  <si>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</si>
  <si>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</si>
  <si>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</si>
  <si>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</si>
  <si>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</si>
  <si>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</si>
  <si>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</si>
  <si>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</si>
  <si>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</si>
  <si>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</si>
  <si>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</si>
  <si>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</si>
  <si>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</si>
  <si>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</si>
  <si>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</si>
  <si>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</si>
  <si>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</si>
  <si>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</si>
  <si>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</si>
  <si>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</si>
  <si>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</si>
  <si>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</si>
  <si>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</si>
  <si>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</si>
  <si>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</si>
  <si>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</si>
  <si>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</si>
  <si>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</si>
  <si>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</si>
  <si>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</si>
  <si>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</si>
  <si>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</si>
  <si>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</si>
  <si>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</si>
  <si>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</si>
  <si>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</si>
  <si>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</si>
  <si>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</si>
  <si>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</si>
  <si>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</si>
  <si>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</si>
  <si>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</si>
  <si>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</si>
  <si>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</si>
  <si>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</si>
  <si>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</si>
  <si>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</si>
  <si>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</si>
  <si>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</si>
  <si>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</si>
  <si>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</si>
  <si>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</si>
  <si>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</si>
  <si>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</si>
  <si>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</si>
  <si>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</si>
  <si>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</si>
  <si>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</si>
  <si>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</si>
  <si>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</si>
  <si>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</si>
  <si>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</si>
  <si>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</si>
  <si>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</si>
  <si>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</si>
  <si>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</si>
  <si>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</si>
  <si>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</si>
  <si>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</si>
  <si>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</si>
  <si>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</si>
  <si>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</si>
  <si>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</si>
  <si>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</si>
  <si>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</si>
  <si>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</si>
  <si>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</si>
  <si>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</si>
  <si>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</si>
  <si>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</si>
  <si>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</si>
  <si>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</si>
  <si>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</si>
  <si>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</si>
  <si>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</si>
  <si>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</si>
  <si>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</si>
  <si>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</si>
  <si>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</si>
  <si>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</si>
  <si>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</si>
  <si>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</si>
  <si>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</si>
  <si>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</si>
  <si>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</si>
  <si>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</si>
  <si>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</si>
  <si>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</si>
  <si>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</si>
  <si>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</si>
  <si>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</si>
  <si>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</si>
  <si>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</si>
  <si>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</si>
  <si>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</si>
  <si>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</si>
  <si>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</si>
  <si>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</si>
  <si>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</si>
  <si>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</si>
  <si>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</si>
  <si>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</si>
  <si>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</si>
  <si>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</si>
  <si>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</si>
  <si>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</si>
  <si>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</si>
  <si>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</si>
  <si>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</si>
  <si>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</si>
  <si>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</si>
  <si>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</si>
  <si>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</si>
  <si>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</si>
  <si>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</si>
  <si>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</si>
  <si>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</si>
  <si>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</si>
  <si>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</si>
  <si>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</si>
  <si>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</si>
  <si>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</si>
  <si>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</si>
  <si>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</si>
  <si>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</si>
  <si>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</si>
  <si>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</si>
  <si>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</si>
  <si>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</si>
  <si>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</si>
  <si>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</si>
  <si>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</si>
  <si>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</si>
  <si>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</si>
  <si>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</si>
  <si>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</si>
  <si>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</si>
  <si>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</si>
  <si>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</si>
  <si>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</si>
  <si>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</si>
  <si>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</si>
  <si>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</si>
  <si>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</si>
  <si>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</si>
  <si>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</si>
  <si>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</si>
  <si>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</si>
  <si>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</si>
  <si>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</si>
  <si>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</si>
  <si>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</si>
  <si>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</si>
  <si>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</si>
  <si>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</si>
  <si>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</si>
  <si>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</si>
  <si>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</si>
  <si>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</si>
  <si>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</si>
  <si>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</si>
  <si>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</si>
  <si>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</si>
  <si>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</si>
  <si>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</si>
  <si>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</si>
  <si>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</si>
  <si>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</si>
  <si>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</si>
  <si>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</si>
  <si>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</si>
  <si>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</si>
  <si>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</si>
  <si>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</si>
  <si>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</si>
  <si>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</si>
  <si>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</si>
  <si>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</si>
  <si>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</si>
  <si>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</si>
  <si>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</si>
  <si>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</si>
  <si>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</si>
  <si>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</si>
  <si>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</si>
  <si>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</si>
  <si>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</si>
  <si>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</si>
  <si>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</si>
  <si>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</si>
  <si>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</si>
  <si>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</si>
  <si>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</si>
  <si>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</si>
  <si>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</si>
  <si>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</si>
  <si>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</si>
  <si>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</si>
  <si>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</si>
  <si>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</si>
  <si>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</si>
  <si>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</si>
  <si>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</si>
  <si>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</si>
  <si>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</si>
  <si>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</si>
  <si>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</si>
  <si>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</si>
  <si>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</si>
  <si>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</si>
  <si>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</si>
  <si>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</si>
  <si>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</si>
  <si>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</si>
  <si>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</si>
  <si>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</si>
  <si>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</si>
  <si>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</si>
  <si>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</si>
  <si>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</si>
  <si>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</si>
  <si>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</si>
  <si>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</si>
  <si>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</si>
  <si>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</si>
  <si>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</si>
  <si>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</si>
  <si>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</si>
  <si>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</si>
  <si>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CORDOBA</t>
  </si>
  <si>
    <t>Resumenes por Partidos Judiciales</t>
  </si>
  <si>
    <t>MONTORO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</si>
</sst>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N1uEHVtVA2Qr/r7jMrOen2uuijAON3HTh94FjG2mB3fD6zSymVHGDHG/UkROqwCDD+JB3Rog8k5HwiKuHuN+Zg==" saltValue="+devQ5DMCAv+8ok/taH75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15</v>
      </c>
      <c r="D10" s="225">
        <f>IF(ISNUMBER(Datos!I10),Datos!I10," - ")</f>
        <v>15</v>
      </c>
      <c r="E10" s="226">
        <f>IF(ISNUMBER(Datos!J10),Datos!J10," - ")</f>
        <v>1</v>
      </c>
      <c r="F10" s="226">
        <f>IF(ISNUMBER(Datos!K10),Datos!K10," - ")</f>
        <v>0</v>
      </c>
      <c r="G10" s="1034" t="str">
        <f>IF(Datos!E10&lt;&gt;"",Datos!E10,Datos!D10)</f>
        <v>37</v>
      </c>
      <c r="H10" s="227">
        <f>IF(ISNUMBER(Datos!L10),Datos!L10," - ")</f>
        <v>16</v>
      </c>
      <c r="I10" s="1044" t="str">
        <f>IF(ISNUMBER(Datos!AS10/Datos!BM10),Datos!AS10/Datos!BM10," - ")</f>
        <v xml:space="preserve"> - </v>
      </c>
      <c r="J10" s="1045">
        <f>IF(ISNUMBER(Datos!BY10/Datos!CN10),Datos!BY10/Datos!CN10," - ")</f>
        <v>0</v>
      </c>
      <c r="K10" s="230">
        <f t="shared" ref="K10:K12" si="1">IF(ISNUMBER((E10-F10)/C10),(E10-F10)/C10," - ")</f>
        <v>6.6666666666666666E-2</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43.405405405405403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15</v>
      </c>
      <c r="D13" s="1049">
        <f>SUBTOTAL(9,D9:D12)</f>
        <v>15</v>
      </c>
      <c r="E13" s="1050">
        <f>SUBTOTAL(9,E9:E12)</f>
        <v>1</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881</v>
      </c>
      <c r="D16" s="225">
        <f>IF(ISNUMBER(IF(D_I="SI",Datos!I16,Datos!I16+Datos!AC16)),IF(D_I="SI",Datos!I16,Datos!I16+Datos!AC16)," - ")</f>
        <v>881</v>
      </c>
      <c r="E16" s="226">
        <f>IF(ISNUMBER(IF(D_I="SI",Datos!J16,Datos!J16+Datos!AD16)),IF(D_I="SI",Datos!J16,Datos!J16+Datos!AD16)," - ")</f>
        <v>578</v>
      </c>
      <c r="F16" s="226">
        <f>IF(ISNUMBER(IF(D_I="SI",Datos!K16,Datos!K16+Datos!AE16)),IF(D_I="SI",Datos!K16,Datos!K16+Datos!AE16)," - ")</f>
        <v>433</v>
      </c>
      <c r="G16" s="1034" t="str">
        <f>IF(Datos!E16&lt;&gt;"",Datos!E16,Datos!D16)</f>
        <v>04</v>
      </c>
      <c r="H16" s="227">
        <f>IF(ISNUMBER(IF(D_I="SI",Datos!L16,Datos!L16+Datos!AF16)),IF(D_I="SI",Datos!L16,Datos!L16+Datos!AF16)," - ")</f>
        <v>1026</v>
      </c>
      <c r="I16" s="1044" t="str">
        <f>IF(ISNUMBER(Datos!AS16/Datos!BM16),Datos!AS16/Datos!BM16," - ")</f>
        <v xml:space="preserve"> - </v>
      </c>
      <c r="J16" s="1045">
        <f>IF(ISNUMBER(Datos!BY16/Datos!CN16),Datos!BY16/Datos!CN16," - ")</f>
        <v>0</v>
      </c>
      <c r="K16" s="230">
        <f t="shared" si="3"/>
        <v>0.16458569807037457</v>
      </c>
      <c r="L16" s="1025">
        <f>IF(ISNUMBER(NºAsuntos!I16/NºAsuntos!G16),(NºAsuntos!I16/NºAsuntos!G16)*11," - ")</f>
        <v>26.064665127020788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25</v>
      </c>
      <c r="D17" s="225">
        <f>IF(ISNUMBER(IF(D_I="SI",Datos!I17,Datos!I17+Datos!AC17)),IF(D_I="SI",Datos!I17,Datos!I17+Datos!AC17)," - ")</f>
        <v>25</v>
      </c>
      <c r="E17" s="226">
        <f>IF(ISNUMBER(IF(D_I="SI",Datos!J17,Datos!J17+Datos!AD17)),IF(D_I="SI",Datos!J17,Datos!J17+Datos!AD17)," - ")</f>
        <v>35</v>
      </c>
      <c r="F17" s="226">
        <f>IF(ISNUMBER(IF(D_I="SI",Datos!K17,Datos!K17+Datos!AE17)),IF(D_I="SI",Datos!K17,Datos!K17+Datos!AE17)," - ")</f>
        <v>33</v>
      </c>
      <c r="G17" s="1034" t="str">
        <f>IF(Datos!E17&lt;&gt;"",Datos!E17,Datos!D17)</f>
        <v>37</v>
      </c>
      <c r="H17" s="227">
        <f>IF(ISNUMBER(IF(D_I="SI",Datos!L17,Datos!L17+Datos!AF17)),IF(D_I="SI",Datos!L17,Datos!L17+Datos!AF17)," - ")</f>
        <v>27</v>
      </c>
      <c r="I17" s="1044" t="str">
        <f>IF(ISNUMBER(Datos!AS17/Datos!BM17),Datos!AS17/Datos!BM17," - ")</f>
        <v xml:space="preserve"> - </v>
      </c>
      <c r="J17" s="1045" t="str">
        <f>IF(ISNUMBER((Datos!BY17+Datos!BZ17)/Datos!CN17),(Datos!BY17+Datos!BZ17)/Datos!CN17," - ")</f>
        <v xml:space="preserve"> - </v>
      </c>
      <c r="K17" s="230">
        <f t="shared" si="3"/>
        <v>0.08</v>
      </c>
      <c r="L17" s="1025">
        <f>IF(ISNUMBER(NºAsuntos!I17/NºAsuntos!G17),(NºAsuntos!I17/NºAsuntos!G17)*11," - ")</f>
        <v>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906</v>
      </c>
      <c r="D18" s="1049">
        <f>SUBTOTAL(9,D15:D17)</f>
        <v>906</v>
      </c>
      <c r="E18" s="1050">
        <f>SUBTOTAL(9,E15:E17)</f>
        <v>613</v>
      </c>
      <c r="F18" s="1050">
        <f>SUBTOTAL(9,F15:F17)</f>
        <v>466</v>
      </c>
      <c r="G18" s="1052" t="str">
        <f ca="1">INDIRECT(CONCATENATE("G",ROW()-1))</f>
        <v>37</v>
      </c>
      <c r="H18" s="1053">
        <f ca="1">SUMIF(G$14:G17,G18,H$14:H17)</f>
        <v>27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921</v>
      </c>
      <c r="D19" s="1071">
        <f>SUBTOTAL(9,D9:D18)</f>
        <v>921</v>
      </c>
      <c r="E19" s="1072">
        <f>SUBTOTAL(9,E9:E18)</f>
        <v>614</v>
      </c>
      <c r="F19" s="1072">
        <f>SUBTOTAL(9,F9:F18)</f>
        <v>466</v>
      </c>
      <c r="G19" s="1073"/>
      <c r="H19" s="1074">
        <f ca="1">SUMIF(B9:B18,"TOTAL",H9:H18)</f>
        <v>27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8rZvec1wNzrrbLTGNnO76amfVvazzhuDJ+3rC8EWJXg+D9aaCmRC54ZOQKs48eA0DhkfR2opStT6sKIT9rpjpQ==" saltValue="31GYfr+rO1vY4OaY6xDl0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8UfYJyMHef7dZyCkRiWwFd+gz2RQSjmJGzUH7vTaQchYNh/V8S2PT2FouumfuxEoH60YslYNja+P5Yai7/Apsg==" saltValue="SXBHl+7SmUeMEloHLXTq+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15</v>
      </c>
      <c r="J10" s="181">
        <v>1</v>
      </c>
      <c r="K10" s="181">
        <v>0</v>
      </c>
      <c r="L10" s="181">
        <v>16</v>
      </c>
      <c r="M10" s="181">
        <v>0</v>
      </c>
      <c r="N10" s="181">
        <v>0</v>
      </c>
      <c r="O10" s="181">
        <v>0</v>
      </c>
      <c r="P10" s="181">
        <v>0</v>
      </c>
      <c r="Q10" s="181">
        <v>0</v>
      </c>
      <c r="R10" s="181">
        <v>1</v>
      </c>
      <c r="S10" s="181">
        <v>8</v>
      </c>
      <c r="T10" s="181">
        <v>1</v>
      </c>
      <c r="U10" s="181">
        <v>3</v>
      </c>
      <c r="V10" s="181">
        <v>6</v>
      </c>
      <c r="W10" s="181">
        <v>3</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8</v>
      </c>
      <c r="AZ10" s="129">
        <f t="shared" si="0"/>
        <v>1</v>
      </c>
      <c r="BA10" s="129">
        <f t="shared" si="0"/>
        <v>3</v>
      </c>
      <c r="BB10" s="129">
        <f t="shared" si="0"/>
        <v>6</v>
      </c>
      <c r="BC10" s="125">
        <f t="shared" si="0"/>
        <v>3</v>
      </c>
      <c r="BD10" s="126">
        <f>IF(ISNUMBER(BA10/AZ10),BA10/AZ10," - ")</f>
        <v>3</v>
      </c>
      <c r="BE10" s="127">
        <f>IF(ISNUMBER(BB10/BA10),BB10/BA10, " - ")</f>
        <v>2</v>
      </c>
      <c r="BF10" s="127">
        <f>IF(ISNUMBER(BC10/BA10),BC10/BA10, " - ")</f>
        <v>1</v>
      </c>
      <c r="BG10" s="196">
        <f>IF(ISNUMBER((AY10+AZ10)/BA10),(AY10+AZ10)/BA10," - ")</f>
        <v>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1574</v>
      </c>
      <c r="J12" s="183">
        <v>353</v>
      </c>
      <c r="K12" s="183">
        <v>388</v>
      </c>
      <c r="L12" s="183">
        <v>1539</v>
      </c>
      <c r="M12" s="183">
        <v>79</v>
      </c>
      <c r="N12" s="183">
        <v>128</v>
      </c>
      <c r="O12" s="181">
        <v>233</v>
      </c>
      <c r="P12" s="183">
        <v>84</v>
      </c>
      <c r="Q12" s="183">
        <v>36</v>
      </c>
      <c r="R12" s="183">
        <v>2490</v>
      </c>
      <c r="S12" s="183">
        <v>1225</v>
      </c>
      <c r="T12" s="183">
        <v>490</v>
      </c>
      <c r="U12" s="183">
        <v>366</v>
      </c>
      <c r="V12" s="183">
        <v>1349</v>
      </c>
      <c r="W12" s="183">
        <v>66</v>
      </c>
      <c r="X12" s="189">
        <v>124</v>
      </c>
      <c r="Y12" s="191">
        <v>65</v>
      </c>
      <c r="Z12" s="181">
        <v>21</v>
      </c>
      <c r="AA12" s="181">
        <v>19</v>
      </c>
      <c r="AB12" s="181">
        <v>67</v>
      </c>
      <c r="AC12" s="183">
        <v>0</v>
      </c>
      <c r="AD12" s="183">
        <v>0</v>
      </c>
      <c r="AE12" s="183">
        <v>0</v>
      </c>
      <c r="AF12" s="189">
        <v>0</v>
      </c>
      <c r="AG12" s="202">
        <v>58</v>
      </c>
      <c r="AH12" s="183">
        <v>24</v>
      </c>
      <c r="AI12" s="183">
        <v>23</v>
      </c>
      <c r="AJ12" s="203">
        <v>59</v>
      </c>
      <c r="AK12" s="182">
        <v>0</v>
      </c>
      <c r="AL12" s="183">
        <v>0</v>
      </c>
      <c r="AM12" s="183">
        <v>0</v>
      </c>
      <c r="AN12" s="189">
        <v>0</v>
      </c>
      <c r="AO12" s="259">
        <v>2</v>
      </c>
      <c r="AP12" s="155">
        <v>2</v>
      </c>
      <c r="AQ12" s="155">
        <v>2</v>
      </c>
      <c r="AR12" s="154">
        <v>2</v>
      </c>
      <c r="AS12" s="340" t="s">
        <v>802</v>
      </c>
      <c r="AT12" s="203"/>
      <c r="AU12" s="202"/>
      <c r="AV12" s="203"/>
      <c r="AW12" s="202"/>
      <c r="AX12" s="203"/>
      <c r="AY12" s="126">
        <f t="shared" si="1"/>
        <v>1283</v>
      </c>
      <c r="AZ12" s="127">
        <f t="shared" si="1"/>
        <v>514</v>
      </c>
      <c r="BA12" s="127">
        <f t="shared" si="1"/>
        <v>389</v>
      </c>
      <c r="BB12" s="127">
        <f t="shared" si="1"/>
        <v>1408</v>
      </c>
      <c r="BC12" s="125">
        <f>IF(ISNUMBER(X12),X12," - ")</f>
        <v>124</v>
      </c>
      <c r="BD12" s="126">
        <f t="shared" si="2"/>
        <v>0.75680933852140075</v>
      </c>
      <c r="BE12" s="127">
        <f t="shared" si="3"/>
        <v>3.6195372750642671</v>
      </c>
      <c r="BF12" s="127">
        <f t="shared" si="4"/>
        <v>0.31876606683804626</v>
      </c>
      <c r="BG12" s="196">
        <f t="shared" si="5"/>
        <v>4.6195372750642676</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1589</v>
      </c>
      <c r="J13" s="184">
        <f t="shared" si="6"/>
        <v>354</v>
      </c>
      <c r="K13" s="184">
        <f t="shared" si="6"/>
        <v>388</v>
      </c>
      <c r="L13" s="184">
        <f t="shared" si="6"/>
        <v>1555</v>
      </c>
      <c r="M13" s="184">
        <f t="shared" si="6"/>
        <v>79</v>
      </c>
      <c r="N13" s="184">
        <f t="shared" si="6"/>
        <v>128</v>
      </c>
      <c r="O13" s="184">
        <f t="shared" si="6"/>
        <v>233</v>
      </c>
      <c r="P13" s="184">
        <f t="shared" si="6"/>
        <v>84</v>
      </c>
      <c r="Q13" s="184">
        <f t="shared" si="6"/>
        <v>36</v>
      </c>
      <c r="R13" s="184">
        <f t="shared" si="6"/>
        <v>2491</v>
      </c>
      <c r="S13" s="184">
        <f t="shared" si="6"/>
        <v>1233</v>
      </c>
      <c r="T13" s="184">
        <f t="shared" si="6"/>
        <v>491</v>
      </c>
      <c r="U13" s="184">
        <f t="shared" si="6"/>
        <v>369</v>
      </c>
      <c r="V13" s="184">
        <f t="shared" si="6"/>
        <v>1355</v>
      </c>
      <c r="W13" s="184">
        <f t="shared" si="6"/>
        <v>69</v>
      </c>
      <c r="X13" s="184">
        <f t="shared" si="6"/>
        <v>124</v>
      </c>
      <c r="Y13" s="184">
        <f t="shared" si="6"/>
        <v>65</v>
      </c>
      <c r="Z13" s="184">
        <f t="shared" si="6"/>
        <v>21</v>
      </c>
      <c r="AA13" s="184">
        <f t="shared" si="6"/>
        <v>19</v>
      </c>
      <c r="AB13" s="184">
        <f t="shared" si="6"/>
        <v>67</v>
      </c>
      <c r="AC13" s="184">
        <f t="shared" si="6"/>
        <v>0</v>
      </c>
      <c r="AD13" s="184">
        <f t="shared" si="6"/>
        <v>0</v>
      </c>
      <c r="AE13" s="184">
        <f t="shared" si="6"/>
        <v>0</v>
      </c>
      <c r="AF13" s="184">
        <f>SUBTOTAL(9,AF9:AF12)</f>
        <v>0</v>
      </c>
      <c r="AG13" s="184">
        <f t="shared" ref="AG13:AT13" si="7">SUBTOTAL(9,AG8:AG12)</f>
        <v>58</v>
      </c>
      <c r="AH13" s="184">
        <f t="shared" si="7"/>
        <v>24</v>
      </c>
      <c r="AI13" s="184">
        <f t="shared" si="7"/>
        <v>23</v>
      </c>
      <c r="AJ13" s="184">
        <f t="shared" si="7"/>
        <v>59</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1291</v>
      </c>
      <c r="AZ13" s="184">
        <f>SUBTOTAL(9,AZ8:AZ12)</f>
        <v>515</v>
      </c>
      <c r="BA13" s="184">
        <f>SUBTOTAL(9,BA8:BA12)</f>
        <v>392</v>
      </c>
      <c r="BB13" s="184">
        <f>SUBTOTAL(9,BB8:BB12)</f>
        <v>1414</v>
      </c>
      <c r="BC13" s="184">
        <f>SUBTOTAL(9,BC8:BC12)</f>
        <v>127</v>
      </c>
      <c r="BD13" s="205">
        <f>IF(ISNUMBER(BA13/AZ13),BA13/AZ13," - ")</f>
        <v>0.76116504854368927</v>
      </c>
      <c r="BE13" s="206">
        <f>IF(ISNUMBER(BB13/BA13),BB13/BA13, " - ")</f>
        <v>3.6071428571428572</v>
      </c>
      <c r="BF13" s="206">
        <f>IF(ISNUMBER(BC13/BA13),BC13/BA13, " - ")</f>
        <v>0.32397959183673469</v>
      </c>
      <c r="BG13" s="207">
        <f>IF(ISNUMBER((AY13+AZ13)/BA13),(AY13+AZ13)/BA13," - ")</f>
        <v>4.6071428571428568</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881</v>
      </c>
      <c r="J16" s="183">
        <v>578</v>
      </c>
      <c r="K16" s="183">
        <v>433</v>
      </c>
      <c r="L16" s="183">
        <v>1026</v>
      </c>
      <c r="M16" s="183">
        <v>67</v>
      </c>
      <c r="N16" s="183">
        <v>320</v>
      </c>
      <c r="O16" s="181">
        <v>0</v>
      </c>
      <c r="P16" s="183">
        <v>15</v>
      </c>
      <c r="Q16" s="183">
        <v>4</v>
      </c>
      <c r="R16" s="183">
        <v>51</v>
      </c>
      <c r="S16" s="183">
        <v>736</v>
      </c>
      <c r="T16" s="183">
        <v>391</v>
      </c>
      <c r="U16" s="183">
        <v>392</v>
      </c>
      <c r="V16" s="183">
        <v>735</v>
      </c>
      <c r="W16" s="183">
        <v>28</v>
      </c>
      <c r="X16" s="189">
        <v>279</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736</v>
      </c>
      <c r="AZ16" s="127">
        <f t="shared" si="9"/>
        <v>391</v>
      </c>
      <c r="BA16" s="127">
        <f t="shared" si="9"/>
        <v>392</v>
      </c>
      <c r="BB16" s="127">
        <f t="shared" si="9"/>
        <v>735</v>
      </c>
      <c r="BC16" s="125">
        <f>IF(ISNUMBER(W16),W16," - ")</f>
        <v>28</v>
      </c>
      <c r="BD16" s="126">
        <f t="shared" ref="BD16" si="11">IF(ISNUMBER(BA16/AZ16),BA16/AZ16," - ")</f>
        <v>1.0025575447570332</v>
      </c>
      <c r="BE16" s="127">
        <f t="shared" ref="BE16" si="12">IF(ISNUMBER(BB16/BA16),BB16/BA16, " - ")</f>
        <v>1.875</v>
      </c>
      <c r="BF16" s="127">
        <f t="shared" ref="BF16" si="13">IF(ISNUMBER(BC16/BA16),BC16/BA16, " - ")</f>
        <v>7.1428571428571425E-2</v>
      </c>
      <c r="BG16" s="196">
        <f t="shared" si="10"/>
        <v>2.875</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25</v>
      </c>
      <c r="J17" s="183">
        <v>35</v>
      </c>
      <c r="K17" s="183">
        <v>33</v>
      </c>
      <c r="L17" s="183">
        <v>27</v>
      </c>
      <c r="M17" s="183">
        <v>11</v>
      </c>
      <c r="N17" s="183">
        <v>12</v>
      </c>
      <c r="O17" s="183">
        <v>0</v>
      </c>
      <c r="P17" s="183">
        <v>0</v>
      </c>
      <c r="Q17" s="183">
        <v>0</v>
      </c>
      <c r="R17" s="183">
        <v>0</v>
      </c>
      <c r="S17" s="183">
        <v>18</v>
      </c>
      <c r="T17" s="183">
        <v>30</v>
      </c>
      <c r="U17" s="183">
        <v>30</v>
      </c>
      <c r="V17" s="183">
        <v>18</v>
      </c>
      <c r="W17" s="183">
        <v>9</v>
      </c>
      <c r="X17" s="189">
        <v>11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18</v>
      </c>
      <c r="AZ17" s="129">
        <f t="shared" si="14"/>
        <v>30</v>
      </c>
      <c r="BA17" s="129">
        <f t="shared" si="14"/>
        <v>30</v>
      </c>
      <c r="BB17" s="129">
        <f t="shared" si="14"/>
        <v>18</v>
      </c>
      <c r="BC17" s="125">
        <f>IF(ISNUMBER(W17),W17," - ")</f>
        <v>9</v>
      </c>
      <c r="BD17" s="126">
        <f>IF(ISNUMBER(BA17/AZ17),BA17/AZ17," - ")</f>
        <v>1</v>
      </c>
      <c r="BE17" s="127">
        <f>IF(ISNUMBER(BB17/BA17),BB17/BA17, " - ")</f>
        <v>0.6</v>
      </c>
      <c r="BF17" s="127">
        <f>IF(ISNUMBER(BC17/BA17),BC17/BA17, " - ")</f>
        <v>0.3</v>
      </c>
      <c r="BG17" s="196">
        <f>IF(ISNUMBER((AY17+AZ17)/BA17),(AY17+AZ17)/BA17," - ")</f>
        <v>1.6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906</v>
      </c>
      <c r="J18" s="184">
        <f t="shared" si="15"/>
        <v>613</v>
      </c>
      <c r="K18" s="184">
        <f t="shared" si="15"/>
        <v>466</v>
      </c>
      <c r="L18" s="184">
        <f t="shared" si="15"/>
        <v>1053</v>
      </c>
      <c r="M18" s="184">
        <f t="shared" si="15"/>
        <v>78</v>
      </c>
      <c r="N18" s="184">
        <f t="shared" si="15"/>
        <v>332</v>
      </c>
      <c r="O18" s="184">
        <f t="shared" si="15"/>
        <v>0</v>
      </c>
      <c r="P18" s="184">
        <f t="shared" si="15"/>
        <v>15</v>
      </c>
      <c r="Q18" s="184">
        <f t="shared" si="15"/>
        <v>4</v>
      </c>
      <c r="R18" s="184">
        <f t="shared" si="15"/>
        <v>51</v>
      </c>
      <c r="S18" s="184">
        <f t="shared" si="15"/>
        <v>754</v>
      </c>
      <c r="T18" s="184">
        <f t="shared" si="15"/>
        <v>421</v>
      </c>
      <c r="U18" s="184">
        <f t="shared" si="15"/>
        <v>422</v>
      </c>
      <c r="V18" s="184">
        <f t="shared" si="15"/>
        <v>753</v>
      </c>
      <c r="W18" s="184">
        <f t="shared" si="15"/>
        <v>37</v>
      </c>
      <c r="X18" s="184">
        <f t="shared" si="15"/>
        <v>290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754</v>
      </c>
      <c r="AZ18" s="184">
        <f>SUBTOTAL(9,AZ14:AZ17)</f>
        <v>421</v>
      </c>
      <c r="BA18" s="184">
        <f>SUBTOTAL(9,BA14:BA17)</f>
        <v>422</v>
      </c>
      <c r="BB18" s="184">
        <f>SUBTOTAL(9,BB14:BB17)</f>
        <v>753</v>
      </c>
      <c r="BC18" s="184">
        <f>SUBTOTAL(9,BC14:BC17)</f>
        <v>37</v>
      </c>
      <c r="BD18" s="205">
        <f>IF(ISNUMBER(BA18/AZ18),BA18/AZ18," - ")</f>
        <v>1.002375296912114</v>
      </c>
      <c r="BE18" s="206">
        <f>IF(ISNUMBER(BB18/BA18),BB18/BA18, " - ")</f>
        <v>1.7843601895734598</v>
      </c>
      <c r="BF18" s="206">
        <f>IF(ISNUMBER(BC18/BA18),BC18/BA18, " - ")</f>
        <v>8.7677725118483416E-2</v>
      </c>
      <c r="BG18" s="207">
        <f>IF(ISNUMBER((AY18+AZ18)/BA18),(AY18+AZ18)/BA18," - ")</f>
        <v>2.7843601895734595</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2495</v>
      </c>
      <c r="J19" s="134">
        <f t="shared" si="18"/>
        <v>967</v>
      </c>
      <c r="K19" s="134">
        <f t="shared" si="18"/>
        <v>854</v>
      </c>
      <c r="L19" s="134">
        <f t="shared" si="18"/>
        <v>2608</v>
      </c>
      <c r="M19" s="134">
        <f t="shared" si="18"/>
        <v>157</v>
      </c>
      <c r="N19" s="134">
        <f t="shared" si="18"/>
        <v>460</v>
      </c>
      <c r="O19" s="134">
        <f t="shared" si="18"/>
        <v>233</v>
      </c>
      <c r="P19" s="134">
        <f t="shared" si="18"/>
        <v>99</v>
      </c>
      <c r="Q19" s="134">
        <f t="shared" si="18"/>
        <v>40</v>
      </c>
      <c r="R19" s="134">
        <f t="shared" si="18"/>
        <v>2542</v>
      </c>
      <c r="S19" s="134">
        <f t="shared" si="18"/>
        <v>1987</v>
      </c>
      <c r="T19" s="134">
        <f t="shared" si="18"/>
        <v>912</v>
      </c>
      <c r="U19" s="134">
        <f t="shared" si="18"/>
        <v>791</v>
      </c>
      <c r="V19" s="134">
        <f t="shared" si="18"/>
        <v>2108</v>
      </c>
      <c r="W19" s="134">
        <f t="shared" si="18"/>
        <v>106</v>
      </c>
      <c r="X19" s="134">
        <f t="shared" si="18"/>
        <v>414</v>
      </c>
      <c r="Y19" s="134">
        <f t="shared" si="18"/>
        <v>65</v>
      </c>
      <c r="Z19" s="134">
        <f t="shared" si="18"/>
        <v>21</v>
      </c>
      <c r="AA19" s="134">
        <f t="shared" si="18"/>
        <v>19</v>
      </c>
      <c r="AB19" s="134">
        <f t="shared" si="18"/>
        <v>67</v>
      </c>
      <c r="AC19" s="134">
        <f t="shared" si="18"/>
        <v>0</v>
      </c>
      <c r="AD19" s="134">
        <f t="shared" si="18"/>
        <v>0</v>
      </c>
      <c r="AE19" s="134">
        <f t="shared" si="18"/>
        <v>0</v>
      </c>
      <c r="AF19" s="134">
        <f t="shared" si="18"/>
        <v>0</v>
      </c>
      <c r="AG19" s="134">
        <f t="shared" si="18"/>
        <v>58</v>
      </c>
      <c r="AH19" s="134">
        <f t="shared" si="18"/>
        <v>24</v>
      </c>
      <c r="AI19" s="134">
        <f t="shared" si="18"/>
        <v>23</v>
      </c>
      <c r="AJ19" s="134">
        <f t="shared" si="18"/>
        <v>59</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2045</v>
      </c>
      <c r="AZ19" s="134">
        <f>SUBTOTAL(9,AZ9:AZ18)</f>
        <v>936</v>
      </c>
      <c r="BA19" s="134">
        <f>SUBTOTAL(9,BA9:BA18)</f>
        <v>814</v>
      </c>
      <c r="BB19" s="134">
        <f>SUBTOTAL(9,BB9:BB18)</f>
        <v>2167</v>
      </c>
      <c r="BC19" s="135">
        <f>SUBTOTAL(9,BC9:BC18)</f>
        <v>164</v>
      </c>
      <c r="BD19" s="213">
        <f>IF(ISNUMBER(BA19/AZ19),BA19/AZ19," - ")</f>
        <v>0.86965811965811968</v>
      </c>
      <c r="BE19" s="210">
        <f>IF(ISNUMBER(BB19/BA19),BB19/BA19, " - ")</f>
        <v>2.6621621621621623</v>
      </c>
      <c r="BF19" s="210">
        <f>IF(ISNUMBER(BC19/BA19),BC19/BA19, " - ")</f>
        <v>0.20147420147420148</v>
      </c>
      <c r="BG19" s="135">
        <f>IF(ISNUMBER((AY19+AZ19)/BA19),(AY19+AZ19)/BA19," - ")</f>
        <v>3.6621621621621623</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BtiKgamtsWRUjR2YD+2IiBqQDCoXIoO091h+gB1s4wE8QTY4Vgoy+VTECb8kcc7h2D8Iwv+IcB9Ipx5WzCdiQ==" saltValue="iwnjo0Ci/hMID9QfVv6Gd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EDl65T0nPbXXBDZ/vHvASXTpZh4TnPOX1jeTcgD4Tgp3X7ytI4xIJ6fy0K+v0hQUKnHrOhRYV/aVYMts5Qy4g==" saltValue="Cl6gk54AY1ENhJRLO+Pni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CORDOBA  Resumenes por Partidos Judiciales  MONTORO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15</v>
      </c>
      <c r="G10" s="333">
        <f>IF(ISNUMBER(Datos!I10),Datos!I10," - ")</f>
        <v>15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16</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21</v>
      </c>
      <c r="O12" s="334"/>
      <c r="P12" s="334"/>
      <c r="Q12" s="226">
        <f>IF(ISNUMBER(Datos!P12),Datos!P12,0)</f>
        <v>84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67</v>
      </c>
      <c r="AI12" s="334" t="str">
        <f>IF(ISNUMBER(Datos!CD12),Datos!CD12,"-")</f>
        <v>-</v>
      </c>
      <c r="AJ12" s="334" t="str">
        <f>IF(ISNUMBER(Datos!EN12),Datos!EN12," - ")</f>
        <v xml:space="preserve"> - </v>
      </c>
      <c r="AK12" s="334"/>
      <c r="AL12" s="479"/>
      <c r="AM12" s="335">
        <f>IF(ISNUMBER(Datos!R12),Datos!R12," - ")</f>
        <v>2490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79</v>
      </c>
      <c r="BD12" s="229">
        <f>IF(ISNUMBER(Datos!N12),Datos!N12," - ")</f>
        <v>128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1.088235294117647</v>
      </c>
      <c r="BH12" s="260">
        <f>IF(ISNUMBER(((IF(J_V="SI",Datos!L12/Datos!K12,(Datos!L12+Datos!AB12)/(Datos!K12+Datos!AA12)))*11)/factor_trimestre),((IF(J_V="SI",Datos!L12/Datos!K12,(Datos!L12+Datos!AB12)/(Datos!K12+Datos!AA12)))*11)/factor_trimestre," - ")</f>
        <v>11.837837837837839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1.9656019656019656E-2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15</v>
      </c>
      <c r="G13" s="898">
        <f t="shared" si="0"/>
        <v>15</v>
      </c>
      <c r="H13" s="899">
        <f t="shared" si="0"/>
        <v>0</v>
      </c>
      <c r="I13" s="898">
        <f t="shared" si="0"/>
        <v>0</v>
      </c>
      <c r="J13" s="867">
        <f t="shared" si="0"/>
        <v>0</v>
      </c>
      <c r="K13" s="867">
        <f t="shared" si="0"/>
        <v>0</v>
      </c>
      <c r="L13" s="899">
        <f t="shared" si="0"/>
        <v>0</v>
      </c>
      <c r="M13" s="899">
        <f t="shared" si="0"/>
        <v>0</v>
      </c>
      <c r="N13" s="899">
        <f t="shared" si="0"/>
        <v>21</v>
      </c>
      <c r="O13" s="900">
        <f t="shared" si="0"/>
        <v>0</v>
      </c>
      <c r="P13" s="900">
        <f t="shared" si="0"/>
        <v>0</v>
      </c>
      <c r="Q13" s="899">
        <f t="shared" si="0"/>
        <v>84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36</v>
      </c>
      <c r="AD13" s="899">
        <f t="shared" si="1"/>
        <v>0</v>
      </c>
      <c r="AE13" s="899">
        <f t="shared" si="1"/>
        <v>0</v>
      </c>
      <c r="AF13" s="899">
        <f t="shared" si="1"/>
        <v>16</v>
      </c>
      <c r="AG13" s="899">
        <f t="shared" si="1"/>
        <v>0</v>
      </c>
      <c r="AH13" s="899">
        <f t="shared" si="1"/>
        <v>67</v>
      </c>
      <c r="AI13" s="899">
        <f t="shared" si="1"/>
        <v>0</v>
      </c>
      <c r="AJ13" s="899">
        <f t="shared" si="1"/>
        <v>0</v>
      </c>
      <c r="AK13" s="899">
        <f t="shared" si="1"/>
        <v>0</v>
      </c>
      <c r="AL13" s="899">
        <f t="shared" si="1"/>
        <v>0</v>
      </c>
      <c r="AM13" s="899">
        <f t="shared" si="1"/>
        <v>2491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79</v>
      </c>
      <c r="BD13" s="899">
        <f t="shared" si="1"/>
        <v>128</v>
      </c>
      <c r="BE13" s="899">
        <f t="shared" si="1"/>
        <v>0</v>
      </c>
      <c r="BF13" s="899">
        <f t="shared" si="1"/>
        <v>0</v>
      </c>
      <c r="BG13" s="899">
        <f>IF(ISNUMBER(Datos!K13/Datos!J13),Datos!K13/Datos!J13," - ")</f>
        <v>1.0960451977401129</v>
      </c>
      <c r="BH13" s="903">
        <f>IF(ISNUMBER(((Datos!L13/Datos!K13)*11)/factor_trimestre),((Datos!L13/Datos!K13)*11)/factor_trimestre," - ")</f>
        <v>12.023195876288661</v>
      </c>
      <c r="BI13" s="899">
        <f>IF(ISNUMBER('Resol  Asuntos'!D13/NºAsuntos!G13),'Resol  Asuntos'!D13/NºAsuntos!G13," - ")</f>
        <v>0.1941031941031941</v>
      </c>
      <c r="BJ13" s="899" t="str">
        <f>IF(ISNUMBER(Datos!CI13/Datos!CJ13),Datos!CI13/Datos!CJ13," - ")</f>
        <v xml:space="preserve"> - </v>
      </c>
      <c r="BK13" s="899">
        <f>SUBTOTAL(9,BK8:BK12)</f>
        <v>0</v>
      </c>
      <c r="BL13" s="899">
        <f>IF(ISNUMBER((I13-AB13+L13)/(F13)),(I13-AB13+L13)/(F13)," - ")</f>
        <v>0</v>
      </c>
      <c r="BM13" s="904">
        <f>SUBTOTAL(9,BM9:BM12)</f>
        <v>1.9656019656019656E-2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881</v>
      </c>
      <c r="G16" s="598">
        <f>IF(ISNUMBER(IF(D_I="SI",Datos!I16,Datos!I16+Datos!AC16)),IF(D_I="SI",Datos!I16,Datos!I16+Datos!AC16)," - ")</f>
        <v>881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433</v>
      </c>
      <c r="AC16" s="226">
        <f>IF(ISNUMBER(Datos!Q16),Datos!Q16," - ")</f>
        <v>4</v>
      </c>
      <c r="AD16" s="334"/>
      <c r="AE16" s="484"/>
      <c r="AF16" s="596">
        <f>IF(ISNUMBER(IF(D_I="SI",Datos!L16,Datos!L16+Datos!AF16)),IF(D_I="SI",Datos!L16,Datos!L16+Datos!AF16)," - ")</f>
        <v>1026</v>
      </c>
      <c r="AG16" s="334"/>
      <c r="AH16" s="334"/>
      <c r="AI16" s="334"/>
      <c r="AJ16" s="334"/>
      <c r="AK16" s="334"/>
      <c r="AL16" s="479"/>
      <c r="AM16" s="335">
        <f>IF(ISNUMBER(Datos!R16),Datos!R16," - ")</f>
        <v>51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67</v>
      </c>
      <c r="BD16" s="229">
        <f>IF(ISNUMBER(Datos!N16),Datos!N16," - ")</f>
        <v>320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0.74913494809688586</v>
      </c>
      <c r="BH16" s="260">
        <f>IF(ISNUMBER(((IF(D_I="SI",Datos!L16/Datos!K16,(Datos!L16+Datos!AF16)/(Datos!K16+Datos!AE16)))*11)/factor_trimestre),((IF(D_I="SI",Datos!L16/Datos!K16,(Datos!L16+Datos!AF16)/(Datos!K16+Datos!AE16)))*11)/factor_trimestre," - ")</f>
        <v>7.1085450346420336</v>
      </c>
      <c r="BI16" s="243">
        <f>IF(ISNUMBER('Resol  Asuntos'!D16/NºAsuntos!G16),'Resol  Asuntos'!D16/NºAsuntos!G16," - ")</f>
        <v>0.15473441108545036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33</v>
      </c>
      <c r="AC17" s="226">
        <f>IF(ISNUMBER(Datos!Q17),Datos!Q17," - ")</f>
        <v>0</v>
      </c>
      <c r="AD17" s="334"/>
      <c r="AE17" s="484"/>
      <c r="AF17" s="332">
        <f>IF(ISNUMBER(Datos!L17),Datos!L17,"-")</f>
        <v>27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11</v>
      </c>
      <c r="BD17" s="229">
        <f>IF(ISNUMBER(Datos!N17),Datos!N17," - ")</f>
        <v>12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0.94285714285714284</v>
      </c>
      <c r="BH17" s="260">
        <f>IF(ISNUMBER(((IF(D_I="SI",Datos!L17/Datos!K17,(Datos!L17+Datos!AF17)/(Datos!K17+Datos!AE17)))*11)/factor_trimestre),((IF(D_I="SI",Datos!L17/Datos!K17,(Datos!L17+Datos!AF17)/(Datos!K17+Datos!AE17)))*11)/factor_trimestre," - ")</f>
        <v>2.4545454545454546</v>
      </c>
      <c r="BI17" s="243">
        <f>IF(ISNUMBER('Resol  Asuntos'!D17/NºAsuntos!G17),'Resol  Asuntos'!D17/NºAsuntos!G17," - ")</f>
        <v>0.33333333333333331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881</v>
      </c>
      <c r="G18" s="898">
        <f>SUBTOTAL(9,G15:G17)</f>
        <v>906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466</v>
      </c>
      <c r="AC18" s="899">
        <f t="shared" si="4"/>
        <v>4</v>
      </c>
      <c r="AD18" s="899">
        <f t="shared" si="4"/>
        <v>0</v>
      </c>
      <c r="AE18" s="899">
        <f t="shared" si="4"/>
        <v>0</v>
      </c>
      <c r="AF18" s="899">
        <f t="shared" si="4"/>
        <v>1053</v>
      </c>
      <c r="AG18" s="899">
        <f t="shared" si="4"/>
        <v>0</v>
      </c>
      <c r="AH18" s="899">
        <f t="shared" si="4"/>
        <v>0</v>
      </c>
      <c r="AI18" s="899">
        <f t="shared" si="4"/>
        <v>0</v>
      </c>
      <c r="AJ18" s="899">
        <f t="shared" si="4"/>
        <v>0</v>
      </c>
      <c r="AK18" s="899">
        <f t="shared" si="4"/>
        <v>0</v>
      </c>
      <c r="AL18" s="899">
        <f t="shared" si="4"/>
        <v>0</v>
      </c>
      <c r="AM18" s="899">
        <f t="shared" si="4"/>
        <v>51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78</v>
      </c>
      <c r="BD18" s="899">
        <f t="shared" si="4"/>
        <v>332</v>
      </c>
      <c r="BE18" s="899">
        <f t="shared" si="4"/>
        <v>0</v>
      </c>
      <c r="BF18" s="899">
        <f t="shared" si="4"/>
        <v>0</v>
      </c>
      <c r="BG18" s="899">
        <f>IF(ISNUMBER(Datos!K18/Datos!J18),Datos!K18/Datos!J18," - ")</f>
        <v>0.76019575856443722</v>
      </c>
      <c r="BH18" s="903">
        <f>IF(ISNUMBER(((Datos!L18/Datos!K18)*11)/factor_trimestre),((Datos!L18/Datos!K18)*11)/factor_trimestre," - ")</f>
        <v>6.7789699570815456</v>
      </c>
      <c r="BI18" s="899">
        <f>SUBTOTAL(9,BI15:BI17)</f>
        <v>0.48806774441878364</v>
      </c>
      <c r="BJ18" s="899">
        <f>SUBTOTAL(9,BJ15:BJ17)</f>
        <v>0</v>
      </c>
      <c r="BK18" s="899">
        <f>SUBTOTAL(9,BK15:BK17)</f>
        <v>0</v>
      </c>
      <c r="BL18" s="899">
        <f>IF(ISNUMBER((I18-AB18+L18)/(F18)),(I18-AB18+L18)/(F18)," - ")</f>
        <v>-0.52894438138479005</v>
      </c>
      <c r="BM18" s="905">
        <f>IF(ISNUMBER((Datos!P18-Datos!Q18)/(Datos!R18-Datos!P18+Datos!Q18)),(Datos!P18-Datos!Q18)/(Datos!R18-Datos!P18+Datos!Q18)," - ")</f>
        <v>0.27500000000000002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896</v>
      </c>
      <c r="G19" s="820">
        <f t="shared" si="6"/>
        <v>921</v>
      </c>
      <c r="H19" s="822">
        <f t="shared" si="6"/>
        <v>0</v>
      </c>
      <c r="I19" s="820">
        <f t="shared" si="6"/>
        <v>0</v>
      </c>
      <c r="J19" s="822">
        <f t="shared" si="6"/>
        <v>0</v>
      </c>
      <c r="K19" s="822">
        <f t="shared" si="6"/>
        <v>0</v>
      </c>
      <c r="L19" s="881">
        <f t="shared" si="6"/>
        <v>0</v>
      </c>
      <c r="M19" s="881">
        <f t="shared" si="6"/>
        <v>0</v>
      </c>
      <c r="N19" s="881">
        <f t="shared" si="6"/>
        <v>21</v>
      </c>
      <c r="O19" s="881">
        <f t="shared" si="6"/>
        <v>0</v>
      </c>
      <c r="P19" s="881">
        <f t="shared" si="6"/>
        <v>0</v>
      </c>
      <c r="Q19" s="822">
        <f t="shared" si="6"/>
        <v>99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466</v>
      </c>
      <c r="AC19" s="821">
        <f t="shared" si="7"/>
        <v>40</v>
      </c>
      <c r="AD19" s="821">
        <f t="shared" si="7"/>
        <v>0</v>
      </c>
      <c r="AE19" s="821">
        <f t="shared" si="7"/>
        <v>0</v>
      </c>
      <c r="AF19" s="828">
        <f t="shared" si="7"/>
        <v>1069</v>
      </c>
      <c r="AG19" s="828">
        <f t="shared" si="7"/>
        <v>0</v>
      </c>
      <c r="AH19" s="828">
        <f t="shared" si="7"/>
        <v>67</v>
      </c>
      <c r="AI19" s="828">
        <f t="shared" si="7"/>
        <v>0</v>
      </c>
      <c r="AJ19" s="821">
        <f t="shared" si="7"/>
        <v>0</v>
      </c>
      <c r="AK19" s="828">
        <f t="shared" si="7"/>
        <v>0</v>
      </c>
      <c r="AL19" s="828">
        <f t="shared" si="7"/>
        <v>0</v>
      </c>
      <c r="AM19" s="828">
        <f t="shared" si="7"/>
        <v>2542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157</v>
      </c>
      <c r="BD19" s="820">
        <f t="shared" si="7"/>
        <v>460</v>
      </c>
      <c r="BE19" s="820">
        <f t="shared" si="7"/>
        <v>0</v>
      </c>
      <c r="BF19" s="830">
        <f t="shared" si="7"/>
        <v>0</v>
      </c>
      <c r="BG19" s="915">
        <f>IF(ISNUMBER(Datos!K19/Datos!J19),Datos!K19/Datos!J19," - ")</f>
        <v>0.88314374353671143</v>
      </c>
      <c r="BH19" s="915">
        <f>IF(ISNUMBER(((Datos!L19/Datos!K19)*11)/factor_trimestre),((Datos!L19/Datos!K19)*11)/factor_trimestre," - ")</f>
        <v>9.1615925058548005</v>
      </c>
      <c r="BI19" s="813">
        <f>IF(ISNUMBER(Datos!J19/Datos!I19),Datos!J19/Datos!I19," - ")</f>
        <v>0.38757515030060119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-0.5200892857142857</v>
      </c>
      <c r="BM19" s="889">
        <f>IF(ISNUMBER((Datos!P19-Datos!Q19+R19)/(Datos!R19-Datos!P19+Datos!Q19-R19)),(Datos!P19-Datos!Q19+R19)/(Datos!R19-Datos!P19+Datos!Q19-R19)," - ")</f>
        <v>2.3761578735400725E-2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368.4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499.98533311821592</v>
      </c>
      <c r="G21" s="552">
        <f>IF(ISNUMBER(STDEV(G8:G18)),STDEV(G8:G18),"-")</f>
        <v>479.44739023171246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240.83666664359893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36.72419729097787</v>
      </c>
      <c r="BD21" s="551"/>
      <c r="BE21" s="551">
        <f>IF(ISNUMBER(STDEV(BE8:BE18)),STDEV(BE8:BE18),"-")</f>
        <v>0</v>
      </c>
      <c r="BF21" s="556">
        <f>IF(ISNUMBER(STDEV(BF8:BF18)),STDEV(BF8:BF18),"-")</f>
        <v>0</v>
      </c>
      <c r="BG21" s="775">
        <f>IF(ISNUMBER(STDEV(BG8:BG18)),STDEV(BG8:BG18),"-")</f>
        <v>0.40763832933734306</v>
      </c>
      <c r="BH21" s="776">
        <f>IF(ISNUMBER(STDEV(BH8:BH18)),STDEV(BH8:BH18),"-")</f>
        <v>3.9982661028751547</v>
      </c>
      <c r="BI21" s="249">
        <f>IF(ISNUMBER(STDEV(BI8:BI18)),STDEV(BI8:BI18),"-")</f>
        <v>0.15119014344575238</v>
      </c>
      <c r="BJ21" s="230" t="str">
        <f>IF(ISNUMBER(BL21/BM21),BL21/BM21," - ")</f>
        <v xml:space="preserve"> - </v>
      </c>
      <c r="BK21" s="575"/>
      <c r="BL21" s="559">
        <f>IF(ISNUMBER(STDEV(BL8:BL18)),STDEV(BL8:BL18),"-")</f>
        <v>0.37402015894770846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4qNza77OwBd/i2Rg7uaAEpmdnJ/FM4JlvjNoaKlkzaXzPz2eG6hCd5D4IXd+7dFjwzb5FLsq7b+SkiioIpqbuw==" saltValue="Nn7xpqaH1VO5StClYTD9g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CORDOBA  Resumenes por Partidos Judiciales  MONTORO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15</v>
      </c>
      <c r="G10" s="225">
        <f>IF(ISNUMBER(Datos!I10),Datos!I10," - ")</f>
        <v>15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16</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84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36</v>
      </c>
      <c r="AA12" s="332" t="str">
        <f>IF(ISNUMBER(IF(J_V="SI",Datos!L12,Datos!L12+Datos!AB12)-IF(Monitorios="SI",Datos!CD12,0)),
                          IF(J_V="SI",Datos!L12,Datos!L12+Datos!AB12)-IF(Monitorios="SI",Datos!CD12,0),
                          " - ")</f>
        <v xml:space="preserve"> - </v>
      </c>
      <c r="AB12" s="334"/>
      <c r="AC12" s="334"/>
      <c r="AD12" s="484"/>
      <c r="AE12" s="484">
        <f>IF(ISNUMBER(Datos!R12),Datos!R12," - ")</f>
        <v>2490</v>
      </c>
      <c r="AF12" s="229" t="str">
        <f>IF(ISNUMBER(Datos!BV12),Datos!BV12," - ")</f>
        <v xml:space="preserve"> - </v>
      </c>
      <c r="AG12" s="225" t="str">
        <f>IF(ISNUMBER(Datos!DV12),Datos!DV12," - ")</f>
        <v xml:space="preserve"> - </v>
      </c>
      <c r="AH12" s="298"/>
      <c r="AI12" s="227"/>
      <c r="AJ12" s="225">
        <f>IF(ISNUMBER(Datos!M12),Datos!M12," - ")</f>
        <v>79</v>
      </c>
      <c r="AK12" s="229">
        <f>IF(ISNUMBER(Datos!N12),Datos!N12," - ")</f>
        <v>128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11.837837837837839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1.9656019656019656E-2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15</v>
      </c>
      <c r="G13" s="898">
        <f>SUBTOTAL(9,G8:G12)</f>
        <v>15</v>
      </c>
      <c r="H13" s="908"/>
      <c r="I13" s="898">
        <f t="shared" ref="I13:N13" si="0">SUBTOTAL(9,I8:I12)</f>
        <v>0</v>
      </c>
      <c r="J13" s="867">
        <f t="shared" si="0"/>
        <v>0</v>
      </c>
      <c r="K13" s="908">
        <f t="shared" si="0"/>
        <v>0</v>
      </c>
      <c r="L13" s="908">
        <f t="shared" si="0"/>
        <v>0</v>
      </c>
      <c r="M13" s="908">
        <f t="shared" si="0"/>
        <v>0</v>
      </c>
      <c r="N13" s="908">
        <f t="shared" si="0"/>
        <v>84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36</v>
      </c>
      <c r="AA13" s="900">
        <f t="shared" si="2"/>
        <v>16</v>
      </c>
      <c r="AB13" s="900">
        <f t="shared" si="2"/>
        <v>0</v>
      </c>
      <c r="AC13" s="900">
        <f t="shared" si="2"/>
        <v>0</v>
      </c>
      <c r="AD13" s="900">
        <f t="shared" si="2"/>
        <v>0</v>
      </c>
      <c r="AE13" s="900">
        <f t="shared" si="2"/>
        <v>2491</v>
      </c>
      <c r="AF13" s="908">
        <f t="shared" si="2"/>
        <v>0</v>
      </c>
      <c r="AG13" s="908">
        <f t="shared" si="2"/>
        <v>0</v>
      </c>
      <c r="AH13" s="908">
        <f t="shared" si="2"/>
        <v>0</v>
      </c>
      <c r="AI13" s="908">
        <f t="shared" si="2"/>
        <v>0</v>
      </c>
      <c r="AJ13" s="908">
        <f t="shared" si="2"/>
        <v>79</v>
      </c>
      <c r="AK13" s="908">
        <f t="shared" si="2"/>
        <v>128</v>
      </c>
      <c r="AL13" s="908">
        <f t="shared" si="2"/>
        <v>0</v>
      </c>
      <c r="AM13" s="908">
        <f t="shared" si="2"/>
        <v>0</v>
      </c>
      <c r="AN13" s="908">
        <f t="shared" si="2"/>
        <v>0</v>
      </c>
      <c r="AO13" s="904">
        <f>IF(ISNUMBER(((NºAsuntos!I13/NºAsuntos!G13)*11)/factor_trimestre),((NºAsuntos!I13/NºAsuntos!G13)*11)/factor_trimestre," - ")</f>
        <v>11.955773955773957</v>
      </c>
      <c r="AP13" s="910" t="str">
        <f>IF(ISNUMBER(Datos!CI13/Datos!CJ13),Datos!CI13/Datos!CJ13," - ")</f>
        <v xml:space="preserve"> - </v>
      </c>
      <c r="AQ13" s="928">
        <f t="shared" ref="AQ13:AV13" si="3">SUBTOTAL(9,AQ9:AQ12)</f>
        <v>0</v>
      </c>
      <c r="AR13" s="928">
        <f t="shared" si="3"/>
        <v>1.9656019656019656E-2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881</v>
      </c>
      <c r="G16" s="225">
        <f>IF(ISNUMBER(IF(D_I="SI",Datos!I16,Datos!I16+Datos!AC16)),IF(D_I="SI",Datos!I16,Datos!I16+Datos!AC16)," - ")</f>
        <v>881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433</v>
      </c>
      <c r="Z16" s="619">
        <f>IF(ISNUMBER(Datos!Q16),Datos!Q16," - ")</f>
        <v>4</v>
      </c>
      <c r="AA16" s="332">
        <f>IF(ISNUMBER(IF(D_I="SI",Datos!L16,Datos!L16+Datos!AF16)),IF(D_I="SI",Datos!L16,Datos!L16+Datos!AF16)," - ")</f>
        <v>1026</v>
      </c>
      <c r="AB16" s="334"/>
      <c r="AC16" s="334"/>
      <c r="AD16" s="484"/>
      <c r="AE16" s="484">
        <f>IF(ISNUMBER(Datos!R16),Datos!R16," - ")</f>
        <v>51</v>
      </c>
      <c r="AF16" s="229" t="str">
        <f>IF(ISNUMBER(Datos!BV16),Datos!BV16," - ")</f>
        <v xml:space="preserve"> - </v>
      </c>
      <c r="AG16" s="225"/>
      <c r="AH16" s="298"/>
      <c r="AI16" s="227"/>
      <c r="AJ16" s="225">
        <f>IF(ISNUMBER(Datos!M16),Datos!M16," - ")</f>
        <v>67</v>
      </c>
      <c r="AK16" s="229">
        <f>IF(ISNUMBER(Datos!N16),Datos!N16," - ")</f>
        <v>320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7.1085450346420336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33</v>
      </c>
      <c r="Z17" s="619">
        <f>IF(ISNUMBER(Datos!Q17),Datos!Q17," - ")</f>
        <v>0</v>
      </c>
      <c r="AA17" s="332">
        <f>IF(ISNUMBER(Datos!L17),Datos!L17,"-")</f>
        <v>27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11</v>
      </c>
      <c r="AK17" s="229">
        <f>IF(ISNUMBER(Datos!N17),Datos!N17," - ")</f>
        <v>12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2.4545454545454546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881</v>
      </c>
      <c r="G18" s="898">
        <f>SUBTOTAL(9,G15:G17)</f>
        <v>906</v>
      </c>
      <c r="H18" s="932">
        <f>SUBTOTAL(9,H15:H17)</f>
        <v>0</v>
      </c>
      <c r="I18" s="911">
        <f>SUBTOTAL(9,I15:I17)</f>
        <v>0</v>
      </c>
      <c r="J18" s="867">
        <f>SUBTOTAL(9,J14:J17)</f>
        <v>0</v>
      </c>
      <c r="K18" s="932">
        <f t="shared" ref="K18:S18" si="4">SUBTOTAL(9,K15:K17)</f>
        <v>0</v>
      </c>
      <c r="L18" s="932">
        <f t="shared" si="4"/>
        <v>0</v>
      </c>
      <c r="M18" s="932">
        <f t="shared" si="4"/>
        <v>0</v>
      </c>
      <c r="N18" s="932">
        <f t="shared" si="4"/>
        <v>15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466</v>
      </c>
      <c r="Z18" s="932">
        <f t="shared" si="5"/>
        <v>4</v>
      </c>
      <c r="AA18" s="932">
        <f t="shared" si="5"/>
        <v>1053</v>
      </c>
      <c r="AB18" s="932">
        <f t="shared" si="5"/>
        <v>0</v>
      </c>
      <c r="AC18" s="932">
        <f t="shared" si="5"/>
        <v>0</v>
      </c>
      <c r="AD18" s="932">
        <f t="shared" si="5"/>
        <v>0</v>
      </c>
      <c r="AE18" s="932">
        <f t="shared" si="5"/>
        <v>51</v>
      </c>
      <c r="AF18" s="932">
        <f t="shared" si="5"/>
        <v>0</v>
      </c>
      <c r="AG18" s="932">
        <f t="shared" si="5"/>
        <v>0</v>
      </c>
      <c r="AH18" s="932">
        <f t="shared" si="5"/>
        <v>0</v>
      </c>
      <c r="AI18" s="932">
        <f t="shared" si="5"/>
        <v>0</v>
      </c>
      <c r="AJ18" s="932">
        <f t="shared" si="5"/>
        <v>78</v>
      </c>
      <c r="AK18" s="932">
        <f t="shared" si="5"/>
        <v>332</v>
      </c>
      <c r="AL18" s="932">
        <f t="shared" si="5"/>
        <v>0</v>
      </c>
      <c r="AM18" s="932">
        <f t="shared" si="5"/>
        <v>0</v>
      </c>
      <c r="AN18" s="932">
        <f t="shared" si="5"/>
        <v>0</v>
      </c>
      <c r="AO18" s="934">
        <f>IF(ISNUMBER(((NºAsuntos!I18/NºAsuntos!G18)*11)/factor_trimestre),((NºAsuntos!I18/NºAsuntos!G18)*11)/factor_trimestre," - ")</f>
        <v>6.7789699570815456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896</v>
      </c>
      <c r="G19" s="820">
        <f t="shared" si="7"/>
        <v>921</v>
      </c>
      <c r="H19" s="821">
        <f t="shared" si="7"/>
        <v>0</v>
      </c>
      <c r="I19" s="820">
        <f t="shared" si="7"/>
        <v>0</v>
      </c>
      <c r="J19" s="822">
        <f t="shared" si="7"/>
        <v>0</v>
      </c>
      <c r="K19" s="820">
        <f t="shared" si="7"/>
        <v>0</v>
      </c>
      <c r="L19" s="823">
        <f t="shared" si="7"/>
        <v>0</v>
      </c>
      <c r="M19" s="820">
        <f t="shared" si="7"/>
        <v>0</v>
      </c>
      <c r="N19" s="821">
        <f t="shared" si="7"/>
        <v>99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466</v>
      </c>
      <c r="Z19" s="827">
        <f t="shared" si="8"/>
        <v>40</v>
      </c>
      <c r="AA19" s="828">
        <f t="shared" si="8"/>
        <v>1069</v>
      </c>
      <c r="AB19" s="828">
        <f t="shared" si="8"/>
        <v>0</v>
      </c>
      <c r="AC19" s="828">
        <f t="shared" si="8"/>
        <v>0</v>
      </c>
      <c r="AD19" s="829">
        <f t="shared" si="8"/>
        <v>0</v>
      </c>
      <c r="AE19" s="829">
        <f t="shared" si="8"/>
        <v>2542</v>
      </c>
      <c r="AF19" s="830">
        <f t="shared" si="8"/>
        <v>0</v>
      </c>
      <c r="AG19" s="831">
        <f t="shared" si="8"/>
        <v>0</v>
      </c>
      <c r="AH19" s="832">
        <f t="shared" si="8"/>
        <v>0</v>
      </c>
      <c r="AI19" s="830">
        <f t="shared" si="8"/>
        <v>0</v>
      </c>
      <c r="AJ19" s="820">
        <f t="shared" si="8"/>
        <v>157</v>
      </c>
      <c r="AK19" s="820">
        <f t="shared" si="8"/>
        <v>460</v>
      </c>
      <c r="AL19" s="820">
        <f t="shared" si="8"/>
        <v>0</v>
      </c>
      <c r="AM19" s="833">
        <f t="shared" si="8"/>
        <v>0</v>
      </c>
      <c r="AN19" s="823">
        <f>IF(ISNUMBER(Datos!K19/Datos!J19),Datos!K19/Datos!J19," - ")</f>
        <v>0.88314374353671143</v>
      </c>
      <c r="AO19" s="823">
        <f>IF(ISNUMBER(FIND("06",Criterios!A8,1)),(IF(ISNUMBER(((Datos!R19/Datos!Q19)*11)/factor_trimestre),((Datos!R19/Datos!Q19)*11)/factor_trimestre," - ")),(IF(ISNUMBER(((Datos!L19/Datos!K19)*11)/factor_trimestre),((Datos!L19/Datos!K19)*11)/factor_trimestre," - ")))</f>
        <v>9.1615925058548005</v>
      </c>
      <c r="AP19" s="834" t="str">
        <f>IF(ISNUMBER(Datos!CI19/Datos!CJ19),Datos!CI19/Datos!CJ19," - ")</f>
        <v xml:space="preserve"> - </v>
      </c>
      <c r="AQ19" s="834">
        <f>IF(OR(ISNUMBER(FIND("01",Criterios!A8,1)),ISNUMBER(FIND("02",Criterios!A8,1)),ISNUMBER(FIND("03",Criterios!A8,1)),ISNUMBER(FIND("04",Criterios!A8,1))),(J19-Y19+K19)/(F19-K19),(I19-Y19+K19)/(F19-K19))</f>
        <v>-0.5200892857142857</v>
      </c>
      <c r="AR19" s="834">
        <f>IF(ISNUMBER((Datos!P19-Datos!Q19+O19)/(Datos!R19-Datos!P19+Datos!Q19-O19)),(Datos!P19-Datos!Q19+O19)/(Datos!R19-Datos!P19+Datos!Q19-O19)," - ")</f>
        <v>2.3761578735400725E-2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368.4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499.98533311821592</v>
      </c>
      <c r="G21" s="552">
        <f>IF(ISNUMBER(STDEV(G8:G18)),STDEV(G8:G18),"-")</f>
        <v>479.44739023171246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36.72419729097787</v>
      </c>
      <c r="AK21" s="252"/>
      <c r="AL21" s="252">
        <f>IF(ISNUMBER(STDEV(AL8:AL18)),STDEV(AL8:AL18),"-")</f>
        <v>0</v>
      </c>
      <c r="AM21" s="254">
        <f>IF(ISNUMBER(STDEV(AM8:AM18)),STDEV(AM8:AM18),"-")</f>
        <v>0</v>
      </c>
      <c r="AN21" s="539">
        <f>IF(ISNUMBER(STDEV(AN8:AN18)),STDEV(AN8:AN18),"-")</f>
        <v>0</v>
      </c>
      <c r="AO21" s="540">
        <f>IF(ISNUMBER(STDEV(AO8:AO18)),STDEV(AO8:AO18),"-")</f>
        <v>3.9815555347143485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qI9j1OKpzIeE7ipw3l94A7auureNaE9pProxaliwRM9gFddmvQwtmCnTOPhg69XK5bZHDs/ndMX+BIjhQkxXXw==" saltValue="950RfCTuk+WTNDBUPnfKN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PQJnCSv779fj3Pxkbri0zhI2yf7PcS4t96KweSgTKHtk6XrYgb7JPnVKhTNXvGiHknp3gJ1xN72bjtjSBi43QA==" saltValue="DnJ7W/3waXFYsdXEfAZ4j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CORDOBA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y2RXBQdb9frIdHRbtHOtERrEP2a7o2YMptGH6x6ZMRfeJeWsmwryowgTls5X78ZSuYRWZOkzvipTPR27Tz5g==" saltValue="ODgxwl1T993lMm2h0ZJbE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CORDOBA  Resumenes por Partidos Judiciales  MONTORO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0.1941031941031941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0.13725168480033723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DLa9DnTAvBosintXDnv9Xw20EXZSDfy5dQ1agfkQ+F+JJX4steEb2THZ4O22o4GmUmnsHCYKr87EiYdeg32ZaQ==" saltValue="WfdkyRlHF5/qIfBlgr1t+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ioPHcnH4ah+YJnQo4CjRDwm/MsUYz3X8QqjifOeoI2TlmI9qymNdv/o2nGHgJ9r/fOAwUb+A9WgJsjS70OA7Ig==" saltValue="5I2Yvy11aUaC4lAEtoqmN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CORDOBA</v>
      </c>
      <c r="D3" s="375"/>
      <c r="E3" s="375"/>
      <c r="F3" s="375"/>
      <c r="BQ3" s="471"/>
    </row>
    <row r="4" spans="1:69" ht="13.5" thickBot="1">
      <c r="A4" s="375"/>
      <c r="B4" s="391" t="str">
        <f>Criterios!A11 &amp;"  "&amp;Criterios!B11</f>
        <v>Resumenes por Partidos Judiciales  MONTORO</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15</v>
      </c>
      <c r="D10" s="404">
        <f>IF(ISNUMBER(C10/Datos!BH10),C10/Datos!BH10," - ")</f>
        <v>15</v>
      </c>
      <c r="E10" s="403">
        <f>IF(ISNUMBER(Datos!J10),Datos!J10," - ")</f>
        <v>1</v>
      </c>
      <c r="F10" s="404">
        <f>IF(ISNUMBER(E10/B10),E10/B10," - ")</f>
        <v>1</v>
      </c>
      <c r="G10" s="403">
        <f>IF(ISNUMBER(Datos!K10),Datos!K10," - ")</f>
        <v>0</v>
      </c>
      <c r="H10" s="404">
        <f>IF(ISNUMBER(G10/B10),G10/B10," - ")</f>
        <v>0</v>
      </c>
      <c r="I10" s="403">
        <f>IF(ISNUMBER(Datos!L10),Datos!L10," - ")</f>
        <v>16</v>
      </c>
      <c r="J10" s="404">
        <f>IF(ISNUMBER(I10/B10),I10/B10," - ")</f>
        <v>16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1639</v>
      </c>
      <c r="D12" s="404">
        <f>IF(ISNUMBER(C12/Datos!BH12),C12/Datos!BH12," - ")</f>
        <v>819.5</v>
      </c>
      <c r="E12" s="403">
        <f>IF(ISNUMBER(IF(J_V="SI",Datos!J12,Datos!J12+Datos!Z12)),IF(J_V="SI",Datos!J12,Datos!J12+Datos!Z12)," - ")</f>
        <v>374</v>
      </c>
      <c r="F12" s="404">
        <f>IF(ISNUMBER(E12/B12),E12/B12," - ")</f>
        <v>187</v>
      </c>
      <c r="G12" s="403">
        <f>IF(ISNUMBER(IF(J_V="SI",Datos!K12,Datos!K12+Datos!AA12)),IF(J_V="SI",Datos!K12,Datos!K12+Datos!AA12)," - ")</f>
        <v>407</v>
      </c>
      <c r="H12" s="404">
        <f>IF(ISNUMBER(G12/B12),G12/B12," - ")</f>
        <v>203.5</v>
      </c>
      <c r="I12" s="403">
        <f>IF(ISNUMBER(IF(J_V="SI",Datos!L12,Datos!L12+Datos!AB12)),IF(J_V="SI",Datos!L12,Datos!L12+Datos!AB12)," - ")</f>
        <v>1606</v>
      </c>
      <c r="J12" s="404">
        <f>IF(ISNUMBER(I12/B12),I12/B12," - ")</f>
        <v>803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1654</v>
      </c>
      <c r="D13" s="850" t="str">
        <f>IF(ISNUMBER(C13/Datos!BI13),C13/Datos!BI13," - ")</f>
        <v xml:space="preserve"> - </v>
      </c>
      <c r="E13" s="849">
        <f>SUBTOTAL(9,E8:E12)</f>
        <v>375</v>
      </c>
      <c r="F13" s="850">
        <f>IF(ISNUMBER(E13/B13),E13/B13," - ")</f>
        <v>187.5</v>
      </c>
      <c r="G13" s="849">
        <f>SUBTOTAL(9,G8:G12)</f>
        <v>407</v>
      </c>
      <c r="H13" s="850">
        <f>IF(ISNUMBER(G13/B13),G13/B13," - ")</f>
        <v>203.5</v>
      </c>
      <c r="I13" s="849">
        <f>SUBTOTAL(9,I8:I12)</f>
        <v>1622</v>
      </c>
      <c r="J13" s="850">
        <f>IF(ISNUMBER(I13/B13),I13/B13," - ")</f>
        <v>811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881</v>
      </c>
      <c r="D16" s="404">
        <f>IF(ISNUMBER(C16/Datos!BH16),C16/Datos!BH16," - ")</f>
        <v>440.5</v>
      </c>
      <c r="E16" s="403">
        <f>IF(ISNUMBER(IF(D_I="SI",Datos!J16,Datos!J16+Datos!AD16)),IF(D_I="SI",Datos!J16,Datos!J16+Datos!AD16)," - ")</f>
        <v>578</v>
      </c>
      <c r="F16" s="404">
        <f>IF(ISNUMBER(E16/B16),E16/B16," - ")</f>
        <v>289</v>
      </c>
      <c r="G16" s="403">
        <f>IF(ISNUMBER(IF(D_I="SI",Datos!K16,Datos!K16+Datos!AE16)),IF(D_I="SI",Datos!K16,Datos!K16+Datos!AE16)," - ")</f>
        <v>433</v>
      </c>
      <c r="H16" s="404">
        <f>IF(ISNUMBER(G16/B16),G16/B16," - ")</f>
        <v>216.5</v>
      </c>
      <c r="I16" s="403">
        <f>IF(ISNUMBER(IF(D_I="SI",Datos!L16,Datos!L16+Datos!AF16)),IF(D_I="SI",Datos!L16,Datos!L16+Datos!AF16)," - ")</f>
        <v>1026</v>
      </c>
      <c r="J16" s="404">
        <f>IF(ISNUMBER(I16/B16),I16/B16," - ")</f>
        <v>513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25</v>
      </c>
      <c r="D17" s="404">
        <f>IF(ISNUMBER(C17/Datos!BH17),C17/Datos!BH17," - ")</f>
        <v>25</v>
      </c>
      <c r="E17" s="403">
        <f>IF(ISNUMBER(IF(D_I="SI",Datos!J17,Datos!J17+Datos!AD17)),IF(D_I="SI",Datos!J17,Datos!J17+Datos!AD17)," - ")</f>
        <v>35</v>
      </c>
      <c r="F17" s="404">
        <f>IF(ISNUMBER(E17/B17),E17/B17," - ")</f>
        <v>35</v>
      </c>
      <c r="G17" s="403">
        <f>IF(ISNUMBER(IF(D_I="SI",Datos!K17,Datos!K17+Datos!AE17)),IF(D_I="SI",Datos!K17,Datos!K17+Datos!AE17)," - ")</f>
        <v>33</v>
      </c>
      <c r="H17" s="404">
        <f>IF(ISNUMBER(G17/B17),G17/B17," - ")</f>
        <v>33</v>
      </c>
      <c r="I17" s="403">
        <f>IF(ISNUMBER(IF(D_I="SI",Datos!L17,Datos!L17+Datos!AF17)),IF(D_I="SI",Datos!L17,Datos!L17+Datos!AF17)," - ")</f>
        <v>27</v>
      </c>
      <c r="J17" s="404">
        <f>IF(ISNUMBER(I17/B17),I17/B17," - ")</f>
        <v>27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906</v>
      </c>
      <c r="D18" s="850" t="str">
        <f>IF(ISNUMBER(C18/Datos!BI18),C18/Datos!BI18," - ")</f>
        <v xml:space="preserve"> - </v>
      </c>
      <c r="E18" s="849">
        <f>SUBTOTAL(9,E14:E17)</f>
        <v>613</v>
      </c>
      <c r="F18" s="850">
        <f>IF(ISNUMBER(E18/B18),E18/B18," - ")</f>
        <v>306.5</v>
      </c>
      <c r="G18" s="849">
        <f>SUBTOTAL(9,G14:G17)</f>
        <v>466</v>
      </c>
      <c r="H18" s="850">
        <f>IF(ISNUMBER(G18/B18),G18/B18," - ")</f>
        <v>233</v>
      </c>
      <c r="I18" s="849">
        <f>SUBTOTAL(9,I14:I17)</f>
        <v>1053</v>
      </c>
      <c r="J18" s="850">
        <f>IF(ISNUMBER(I18/B18),I18/B18," - ")</f>
        <v>526.5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2560</v>
      </c>
      <c r="D19" s="795" t="str">
        <f>IF(ISNUMBER(C19/Datos!BI19),C19/Datos!BI19," - ")</f>
        <v xml:space="preserve"> - </v>
      </c>
      <c r="E19" s="794">
        <f>SUBTOTAL(9,E9:E18)</f>
        <v>988</v>
      </c>
      <c r="F19" s="795">
        <f>IF(ISNUMBER(E19/B19),E19/B19," - ")</f>
        <v>494</v>
      </c>
      <c r="G19" s="794">
        <f>SUBTOTAL(9,G9:G18)</f>
        <v>873</v>
      </c>
      <c r="H19" s="795">
        <f>IF(ISNUMBER(G19/B19),G19/B19," - ")</f>
        <v>436.5</v>
      </c>
      <c r="I19" s="794">
        <f>SUBTOTAL(9,I9:I18)</f>
        <v>2675</v>
      </c>
      <c r="J19" s="795">
        <f>IF(ISNUMBER(I19/B19),I19/B19," - ")</f>
        <v>1337.5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qIkiYdpzhHdLL64Av7Im5T38gDfIC07iCyHPYGNmpJJ6SmOIbPy+RaT5iB7IteYJQGK2q9sqXyEPWoahfDMSsQ==" saltValue="TmfX8cvHbWE1m7MqXmayG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CORDOBA  Resumenes por Partidos Judiciales  MONTORO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15</v>
      </c>
      <c r="G10" s="684">
        <f>IF(ISNUMBER(Datos!I10),Datos!I10," - ")</f>
        <v>15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84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2490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79</v>
      </c>
      <c r="AM12" s="690">
        <f>IF(ISNUMBER(Datos!N12+DatosP!N16),Datos!N12+DatosP!N16," - ")</f>
        <v>128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11.837837837837839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1.9656019656019656E-2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15</v>
      </c>
      <c r="G13" s="938">
        <f t="shared" si="0"/>
        <v>15</v>
      </c>
      <c r="H13" s="938">
        <f t="shared" si="0"/>
        <v>0</v>
      </c>
      <c r="I13" s="940">
        <f t="shared" si="0"/>
        <v>0</v>
      </c>
      <c r="J13" s="939">
        <f t="shared" si="0"/>
        <v>0</v>
      </c>
      <c r="K13" s="939">
        <f t="shared" si="0"/>
        <v>0</v>
      </c>
      <c r="L13" s="941">
        <f t="shared" si="0"/>
        <v>0</v>
      </c>
      <c r="M13" s="941">
        <f t="shared" si="0"/>
        <v>0</v>
      </c>
      <c r="N13" s="939">
        <f t="shared" si="0"/>
        <v>84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36</v>
      </c>
      <c r="AE13" s="939">
        <f t="shared" si="1"/>
        <v>0</v>
      </c>
      <c r="AF13" s="939">
        <f t="shared" si="1"/>
        <v>16</v>
      </c>
      <c r="AG13" s="939">
        <f t="shared" si="1"/>
        <v>0</v>
      </c>
      <c r="AH13" s="939">
        <f t="shared" si="1"/>
        <v>2490</v>
      </c>
      <c r="AI13" s="939">
        <f t="shared" si="1"/>
        <v>0</v>
      </c>
      <c r="AJ13" s="939">
        <f t="shared" si="1"/>
        <v>0</v>
      </c>
      <c r="AK13" s="939">
        <f t="shared" si="1"/>
        <v>0</v>
      </c>
      <c r="AL13" s="939">
        <f t="shared" si="1"/>
        <v>79</v>
      </c>
      <c r="AM13" s="939">
        <f t="shared" si="1"/>
        <v>128</v>
      </c>
      <c r="AN13" s="939">
        <f t="shared" si="1"/>
        <v>0</v>
      </c>
      <c r="AO13" s="939">
        <f t="shared" si="1"/>
        <v>0</v>
      </c>
      <c r="AP13" s="944">
        <f>IF(ISNUMBER(((Datos!L13/Datos!K13)*11)/factor_trimestre),((Datos!L13/Datos!K13)*11)/factor_trimestre," - ")</f>
        <v>12.023195876288661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1.9656019656019656E-2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6.7789699570815456</v>
      </c>
      <c r="AQ18" s="944">
        <f>IF(ISNUMBER(((Datos!M18/Datos!L18)*11)/factor_trimestre),((Datos!M18/Datos!L18)*11)/factor_trimestre," - ")</f>
        <v>0.22222222222222221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0.27500000000000002</v>
      </c>
      <c r="AW18" s="946">
        <f>IF(ISNUMBER((Datos!Q18-Datos!R18)/(Datos!S18-Datos!Q18+Datos!R18)),(Datos!Q18-Datos!R18)/(Datos!S18-Datos!Q18+Datos!R18)," - ")</f>
        <v>-5.8676654182272157E-2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15</v>
      </c>
      <c r="G19" s="951">
        <f t="shared" si="4"/>
        <v>15</v>
      </c>
      <c r="H19" s="951">
        <f t="shared" si="4"/>
        <v>0</v>
      </c>
      <c r="I19" s="952">
        <f t="shared" si="4"/>
        <v>0</v>
      </c>
      <c r="J19" s="953">
        <f t="shared" si="4"/>
        <v>0</v>
      </c>
      <c r="K19" s="953">
        <f t="shared" si="4"/>
        <v>0</v>
      </c>
      <c r="L19" s="953">
        <f t="shared" si="4"/>
        <v>0</v>
      </c>
      <c r="M19" s="953">
        <f t="shared" si="4"/>
        <v>0</v>
      </c>
      <c r="N19" s="952">
        <f t="shared" si="4"/>
        <v>84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36</v>
      </c>
      <c r="AE19" s="957">
        <f t="shared" si="5"/>
        <v>0</v>
      </c>
      <c r="AF19" s="958">
        <f t="shared" si="5"/>
        <v>16</v>
      </c>
      <c r="AG19" s="958">
        <f t="shared" si="5"/>
        <v>0</v>
      </c>
      <c r="AH19" s="958">
        <f t="shared" si="5"/>
        <v>2490</v>
      </c>
      <c r="AI19" s="958">
        <f t="shared" si="5"/>
        <v>0</v>
      </c>
      <c r="AJ19" s="959">
        <f t="shared" si="5"/>
        <v>0</v>
      </c>
      <c r="AK19" s="959">
        <f t="shared" si="5"/>
        <v>0</v>
      </c>
      <c r="AL19" s="951">
        <f t="shared" si="5"/>
        <v>79</v>
      </c>
      <c r="AM19" s="951">
        <f t="shared" si="5"/>
        <v>128</v>
      </c>
      <c r="AN19" s="951">
        <f t="shared" si="5"/>
        <v>0</v>
      </c>
      <c r="AO19" s="951">
        <f t="shared" si="5"/>
        <v>0</v>
      </c>
      <c r="AP19" s="951">
        <f>IF(ISNUMBER(((Datos!L19/Datos!K19)*11)/factor_trimestre),((Datos!L19/Datos!K19)*11)/factor_trimestre," - ")</f>
        <v>9.1615925058548005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2.3761578735400725E-2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8.6602540378443873</v>
      </c>
      <c r="G21" s="737">
        <f>IF(ISNUMBER(STDEV(G8:G18)),STDEV(G8:G18),"-")</f>
        <v>8.6602540378443873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45.610671265980436</v>
      </c>
      <c r="AM21" s="736"/>
      <c r="AN21" s="736">
        <f>IF(ISNUMBER(STDEV(AN8:AN18)),STDEV(AN8:AN18),"-")</f>
        <v>0</v>
      </c>
      <c r="AO21" s="742">
        <f>IF(ISNUMBER(STDEV(AO8:AO18)),STDEV(AO8:AO18),"-")</f>
        <v>0</v>
      </c>
      <c r="AP21" s="779">
        <f>IF(ISNUMBER(STDEV(AP8:AP18)),STDEV(AP8:AP18),"-")</f>
        <v>2.9756906013296476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hx6AwxTV/0oOuVGqCi09EBLe+SFORJdeF3zDmLxf55nKP3SvvLj6NqTbSrBhiLSkgKNOgRpp51UHVPkS7PfmBg==" saltValue="SFVlYjQqEQO3Y3ek7f6pA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CORDOBA</v>
      </c>
      <c r="C3" s="415"/>
      <c r="F3" s="375"/>
      <c r="G3" s="375"/>
      <c r="H3" s="375"/>
    </row>
    <row r="4" spans="1:15" ht="13.5" thickBot="1">
      <c r="A4" s="375"/>
      <c r="B4" s="391" t="str">
        <f>Criterios!A11 &amp;"  "&amp;Criterios!B11</f>
        <v>Resumenes por Partidos Judiciales  MONTORO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OQoDKSV7yBwPTRd2h4UyCGzNq3PyKojm1f6uyA+SsD8pLWY8Pg1PzZK6BtdhXEQfQzb7MrtIpzSis1N+jsbPew==" saltValue="g5KiSp7zhIjqRAJtg25Kp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CORDOBA</v>
      </c>
      <c r="C3" s="391"/>
      <c r="D3" s="425"/>
      <c r="BZ3" s="471"/>
    </row>
    <row r="4" spans="1:78" ht="13.5" thickBot="1">
      <c r="B4" s="391" t="str">
        <f>Criterios!A11 &amp;"  "&amp;Criterios!B11</f>
        <v>Resumenes por Partidos Judiciales  MONTORO</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79</v>
      </c>
      <c r="E12" s="404">
        <f t="shared" si="0"/>
        <v>39.5</v>
      </c>
      <c r="F12" s="403">
        <f>IF(ISNUMBER(Datos!N12),Datos!N12," - ")</f>
        <v>128</v>
      </c>
      <c r="G12" s="404">
        <f t="shared" si="1"/>
        <v>64</v>
      </c>
      <c r="H12" s="403">
        <f>IF(ISNUMBER(Datos!O12),Datos!O12," - ")</f>
        <v>233</v>
      </c>
      <c r="I12" s="404">
        <f t="shared" si="2"/>
        <v>116.5</v>
      </c>
      <c r="BZ12" s="1186">
        <f>Datos!EZ12</f>
        <v>0</v>
      </c>
    </row>
    <row r="13" spans="1:78" ht="14.25" thickTop="1" thickBot="1">
      <c r="A13" s="848" t="str">
        <f>Datos!A13</f>
        <v>TOTAL</v>
      </c>
      <c r="B13" s="849">
        <f>Datos!AP13</f>
        <v>2</v>
      </c>
      <c r="C13" s="851">
        <f>Datos!AR13</f>
        <v>2</v>
      </c>
      <c r="D13" s="849">
        <f>SUBTOTAL(9,D9:D12)</f>
        <v>79</v>
      </c>
      <c r="E13" s="850">
        <f t="shared" si="0"/>
        <v>39.5</v>
      </c>
      <c r="F13" s="849">
        <f>SUBTOTAL(9,F9:F12)</f>
        <v>128</v>
      </c>
      <c r="G13" s="850">
        <f t="shared" si="1"/>
        <v>64</v>
      </c>
      <c r="H13" s="849">
        <f>SUBTOTAL(9,H9:H12)</f>
        <v>233</v>
      </c>
      <c r="I13" s="850">
        <f>IF(ISNUMBER(H13/B13),H13/B13," - ")</f>
        <v>116.5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67</v>
      </c>
      <c r="E16" s="404">
        <f t="shared" si="3"/>
        <v>33.5</v>
      </c>
      <c r="F16" s="403">
        <f>IF(ISNUMBER(Datos!N16),Datos!N16," - ")</f>
        <v>320</v>
      </c>
      <c r="G16" s="404">
        <f t="shared" si="4"/>
        <v>160</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11</v>
      </c>
      <c r="E17" s="404">
        <f>IF(ISNUMBER(D17/B17),D17/B17," - ")</f>
        <v>11</v>
      </c>
      <c r="F17" s="403">
        <f>IF(ISNUMBER(Datos!N17),Datos!N17," - ")</f>
        <v>12</v>
      </c>
      <c r="G17" s="404">
        <f>IF(ISNUMBER(F17/B17),F17/B17," - ")</f>
        <v>12</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78</v>
      </c>
      <c r="E18" s="850">
        <f t="shared" si="3"/>
        <v>39</v>
      </c>
      <c r="F18" s="849">
        <f>SUBTOTAL(9,F15:F17)</f>
        <v>332</v>
      </c>
      <c r="G18" s="850">
        <f t="shared" si="4"/>
        <v>166</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157</v>
      </c>
      <c r="E19" s="795">
        <f>IF(ISNUMBER(D19/B19),D19/B19," - ")</f>
        <v>78.5</v>
      </c>
      <c r="F19" s="794">
        <f>SUBTOTAL(9,F8:F18)</f>
        <v>460</v>
      </c>
      <c r="G19" s="795">
        <f>IF(ISNUMBER(F19/B19),F19/B19," - ")</f>
        <v>230</v>
      </c>
      <c r="H19" s="794">
        <f>SUBTOTAL(9,H8:H18)</f>
        <v>233</v>
      </c>
      <c r="I19" s="795">
        <f>IF(ISNUMBER(H19/B19),H19/B19," - ")</f>
        <v>116.5</v>
      </c>
    </row>
    <row r="22" spans="1:78">
      <c r="A22" s="391" t="str">
        <f>Criterios!A4</f>
        <v>Fecha Informe: 24 sep. 2024</v>
      </c>
    </row>
    <row r="27" spans="1:78">
      <c r="A27" s="414"/>
    </row>
  </sheetData>
  <sheetProtection algorithmName="SHA-512" hashValue="mGJf8YIQeRdutFpODyvz0fjo7GcPGuUu+wS69Nne5K8L6kzsq7pcSpjVdtHDr8o4pQ5hYheBZhe2Le6NDh63CA==" saltValue="38G+L/IIOatWfFHOdT6eZ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CORDOBA</v>
      </c>
    </row>
    <row r="4" spans="1:4" ht="13.5" thickBot="1">
      <c r="B4" s="391" t="str">
        <f>Criterios!A11 &amp;"  "&amp;Criterios!B11</f>
        <v>Resumenes por Partidos Judiciales  MONTORO</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84</v>
      </c>
      <c r="C12" s="434">
        <f>IF(ISNUMBER(Datos!Q12),Datos!Q12," - ")</f>
        <v>36</v>
      </c>
      <c r="D12" s="408">
        <f>IF(ISNUMBER(Datos!R12),Datos!R12," - ")</f>
        <v>2490</v>
      </c>
    </row>
    <row r="13" spans="1:4" ht="14.25" thickTop="1" thickBot="1">
      <c r="A13" s="848" t="str">
        <f>Datos!A13</f>
        <v>TOTAL</v>
      </c>
      <c r="B13" s="849">
        <f>SUBTOTAL(9,B9:B12)</f>
        <v>84</v>
      </c>
      <c r="C13" s="853">
        <f>SUBTOTAL(9,C9:C12)</f>
        <v>36</v>
      </c>
      <c r="D13" s="851">
        <f>SUBTOTAL(9,D9:D12)</f>
        <v>2491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15</v>
      </c>
      <c r="C16" s="434">
        <f>IF(ISNUMBER(Datos!Q16),Datos!Q16," - ")</f>
        <v>4</v>
      </c>
      <c r="D16" s="408">
        <f>IF(ISNUMBER(Datos!R16),Datos!R16," - ")</f>
        <v>51</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15</v>
      </c>
      <c r="C18" s="853">
        <f>SUBTOTAL(9,C15:C17)</f>
        <v>4</v>
      </c>
      <c r="D18" s="851">
        <f>SUBTOTAL(9,D15:D17)</f>
        <v>51</v>
      </c>
    </row>
    <row r="19" spans="1:4" ht="16.5" customHeight="1" thickTop="1" thickBot="1">
      <c r="A19" s="793" t="str">
        <f>Datos!A19</f>
        <v>TOTAL JURISDICCIONES</v>
      </c>
      <c r="B19" s="798">
        <f>SUBTOTAL(9,B8:B18)</f>
        <v>99</v>
      </c>
      <c r="C19" s="799">
        <f>SUBTOTAL(9,C8:C18)</f>
        <v>40</v>
      </c>
      <c r="D19" s="800">
        <f>SUBTOTAL(9,D8:D18)</f>
        <v>2542</v>
      </c>
    </row>
    <row r="20" spans="1:4" ht="7.5" customHeight="1"/>
    <row r="21" spans="1:4" ht="6" customHeight="1"/>
    <row r="22" spans="1:4">
      <c r="A22" s="391" t="str">
        <f>Criterios!A4</f>
        <v>Fecha Informe: 24 sep. 2024</v>
      </c>
    </row>
    <row r="27" spans="1:4">
      <c r="A27" s="414"/>
    </row>
  </sheetData>
  <sheetProtection algorithmName="SHA-512" hashValue="vEGiGz2flsqOl9avSjVafxpFScCdZtHaW8S11Z1MfQG5SGUHxgjFXwdQaN/QFa5mctyr5Jc/VUODqMJRSWzL6g==" saltValue="7xR3jRW1LGjgv0qmBe+kO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CORDOBA</v>
      </c>
    </row>
    <row r="4" spans="1:11" ht="10.5" customHeight="1" thickBot="1">
      <c r="B4" s="391" t="str">
        <f>Criterios!A11 &amp;"  "&amp;Criterios!B11</f>
        <v>Resumenes por Partidos Judiciales  MONTORO</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0.875</v>
      </c>
      <c r="C10" s="456">
        <f>IF(ISNUMBER((Datos!J10-Datos!T10)/Datos!T10),(Datos!J10-Datos!T10)/Datos!T10," - ")</f>
        <v>0</v>
      </c>
      <c r="D10" s="456">
        <f>IF(ISNUMBER((Datos!K10-Datos!U10)/Datos!U10),(Datos!K10-Datos!U10)/Datos!U10," - ")</f>
        <v>-1</v>
      </c>
      <c r="E10" s="456">
        <f>IF(ISNUMBER((Datos!L10-Datos!V10)/Datos!V10),(Datos!L10-Datos!V10)/Datos!V10," - ")</f>
        <v>1.6666666666666667</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0.27747466874512861</v>
      </c>
      <c r="C12" s="456">
        <f>IF(ISNUMBER(
   IF(J_V="SI",(Datos!J12-Datos!T12)/Datos!T12,(Datos!J12+Datos!Z12-(Datos!T12+Datos!AH12))/(Datos!T12+Datos!AH12))
     ),IF(J_V="SI",(Datos!J12-Datos!T12)/Datos!T12,(Datos!J12+Datos!Z12-(Datos!T12+Datos!AH12))/(Datos!T12+Datos!AH12))," - ")</f>
        <v>-0.2723735408560311</v>
      </c>
      <c r="D12" s="456">
        <f>IF(ISNUMBER(
   IF(J_V="SI",(Datos!K12-Datos!U12)/Datos!U12,(Datos!K12+Datos!AA12-(Datos!U12+Datos!AI12))/(Datos!U12+Datos!AI12))
     ),IF(J_V="SI",(Datos!K12-Datos!U12)/Datos!U12,(Datos!K12+Datos!AA12-(Datos!U12+Datos!AI12))/(Datos!U12+Datos!AI12))," - ")</f>
        <v>4.6272493573264781E-2</v>
      </c>
      <c r="E12" s="456">
        <f>IF(ISNUMBER(
   IF(J_V="SI",(Datos!L12-Datos!V12)/Datos!V12,(Datos!L12+Datos!AB12-(Datos!V12+Datos!AJ12))/(Datos!V12+Datos!AJ12))
     ),IF(J_V="SI",(Datos!L12-Datos!V12)/Datos!V12,(Datos!L12+Datos!AB12-(Datos!V12+Datos!AJ12))/(Datos!V12+Datos!AJ12))," - ")</f>
        <v>0.140625</v>
      </c>
      <c r="F12" s="456">
        <f>IF(ISNUMBER((Datos!M12-Datos!W12)/Datos!W12),(Datos!M12-Datos!W12)/Datos!W12," - ")</f>
        <v>0.19696969696969696</v>
      </c>
      <c r="G12" s="457">
        <f>IF(ISNUMBER((Datos!N12-Datos!X12)/Datos!X12),(Datos!N12-Datos!X12)/Datos!X12," - ")</f>
        <v>3.2258064516129031E-2</v>
      </c>
      <c r="H12" s="455">
        <f>IF(ISNUMBER(((NºAsuntos!G12/NºAsuntos!E12)-Datos!BD12)/Datos!BD12),((NºAsuntos!G12/NºAsuntos!E12)-Datos!BD12)/Datos!BD12," - ")</f>
        <v>0.43792529865416596</v>
      </c>
      <c r="I12" s="456">
        <f>IF(ISNUMBER(((NºAsuntos!I12/NºAsuntos!G12)-Datos!BE12)/Datos!BE12),((NºAsuntos!I12/NºAsuntos!G12)-Datos!BE12)/Datos!BE12," - ")</f>
        <v>9.0179668304668392E-2</v>
      </c>
      <c r="J12" s="461">
        <f>IF(ISNUMBER((('Resol  Asuntos'!D12/NºAsuntos!G12)-Datos!BF12)/Datos!BF12),(('Resol  Asuntos'!D12/NºAsuntos!G12)-Datos!BF12)/Datos!BF12," - ")</f>
        <v>-0.39107949591820557</v>
      </c>
      <c r="K12" s="462">
        <f>IF(ISNUMBER((((NºAsuntos!C12+NºAsuntos!E12)/NºAsuntos!G12)-Datos!BG12)/Datos!BG12),(((NºAsuntos!C12+NºAsuntos!E12)/NºAsuntos!G12)-Datos!BG12)/Datos!BG12," - ")</f>
        <v>7.0658304381175707E-2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0.28117738187451585</v>
      </c>
      <c r="C13" s="855">
        <f>IF(ISNUMBER(
   IF(J_V="SI",(Datos!J13-Datos!T13)/Datos!T13,(Datos!J13+Datos!Z13-(Datos!T13+Datos!AH13))/(Datos!T13+Datos!AH13))
     ),IF(J_V="SI",(Datos!J13-Datos!T13)/Datos!T13,(Datos!J13+Datos!Z13-(Datos!T13+Datos!AH13))/(Datos!T13+Datos!AH13))," - ")</f>
        <v>-0.27184466019417475</v>
      </c>
      <c r="D13" s="855">
        <f>IF(ISNUMBER(
   IF(J_V="SI",(Datos!K13-Datos!U13)/Datos!U13,(Datos!K13+Datos!AA13-(Datos!U13+Datos!AI13))/(Datos!U13+Datos!AI13))
     ),IF(J_V="SI",(Datos!K13-Datos!U13)/Datos!U13,(Datos!K13+Datos!AA13-(Datos!U13+Datos!AI13))/(Datos!U13+Datos!AI13))," - ")</f>
        <v>3.826530612244898E-2</v>
      </c>
      <c r="E13" s="855">
        <f>IF(ISNUMBER(
   IF(J_V="SI",(Datos!L13-Datos!V13)/Datos!V13,(Datos!L13+Datos!AB13-(Datos!V13+Datos!AJ13))/(Datos!V13+Datos!AJ13))
     ),IF(J_V="SI",(Datos!L13-Datos!V13)/Datos!V13,(Datos!L13+Datos!AB13-(Datos!V13+Datos!AJ13))/(Datos!V13+Datos!AJ13))," - ")</f>
        <v>0.1471004243281471</v>
      </c>
      <c r="F13" s="856">
        <f>IF(ISNUMBER((Datos!M13-Datos!W13)/Datos!W13),(Datos!M13-Datos!W13)/Datos!W13," - ")</f>
        <v>0.14492753623188406</v>
      </c>
      <c r="G13" s="857">
        <f>IF(ISNUMBER((Datos!N13-Datos!X13)/Datos!X13),(Datos!N13-Datos!X13)/Datos!X13," - ")</f>
        <v>3.2258064516129031E-2</v>
      </c>
      <c r="H13" s="857">
        <f>IF(ISNUMBER(((NºAsuntos!G13/NºAsuntos!E13)-Datos!BD13)/Datos!BD13),((NºAsuntos!G13/NºAsuntos!E13)-Datos!BD13)/Datos!BD13," - ")</f>
        <v>0.42588435374149658</v>
      </c>
      <c r="I13" s="857">
        <f>IF(ISNUMBER(((NºAsuntos!I13/NºAsuntos!G13)-Datos!BE13)/Datos!BE13),((NºAsuntos!I13/NºAsuntos!G13)-Datos!BE13)/Datos!BE13," - ")</f>
        <v>0.1048239959131048</v>
      </c>
      <c r="J13" s="857">
        <f>IF(ISNUMBER((('Resol  Asuntos'!D13/NºAsuntos!G13)-Datos!BF13)/Datos!BF13),(('Resol  Asuntos'!D13/NºAsuntos!G13)-Datos!BF13)/Datos!BF13," - ")</f>
        <v>-0.40087833001218831</v>
      </c>
      <c r="K13" s="857">
        <f>IF(ISNUMBER((((NºAsuntos!C13+NºAsuntos!E13)/NºAsuntos!G13)-Datos!BG13)/Datos!BG13),(((NºAsuntos!C13+NºAsuntos!E13)/NºAsuntos!G13)-Datos!BG13)/Datos!BG13," - ")</f>
        <v>8.2071500676151932E-2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0.19701086956521738</v>
      </c>
      <c r="C16" s="456">
        <f>IF(ISNUMBER(
   IF(D_I="SI",(Datos!J16-Datos!T16)/Datos!T16,(Datos!J16+Datos!AD16-(Datos!T16+Datos!AL16))/(Datos!T16+Datos!AL16))
     ),IF(D_I="SI",(Datos!J16-Datos!T16)/Datos!T16,(Datos!J16+Datos!AD16-(Datos!T16+Datos!AL16))/(Datos!T16+Datos!AL16))," - ")</f>
        <v>0.47826086956521741</v>
      </c>
      <c r="D16" s="456">
        <f>IF(ISNUMBER(
   IF(D_I="SI",(Datos!K16-Datos!U16)/Datos!U16,(Datos!K16+Datos!AE16-(Datos!U16+Datos!AM16))/(Datos!U16+Datos!AM16))
     ),IF(D_I="SI",(Datos!K16-Datos!U16)/Datos!U16,(Datos!K16+Datos!AE16-(Datos!U16+Datos!AM16))/(Datos!U16+Datos!AM16))," - ")</f>
        <v>0.10459183673469388</v>
      </c>
      <c r="E16" s="456">
        <f>IF(ISNUMBER(
   IF(D_I="SI",(Datos!L16-Datos!V16)/Datos!V16,(Datos!L16+Datos!AF16-(Datos!V16+Datos!AN16))/(Datos!V16+Datos!AN16))
     ),IF(D_I="SI",(Datos!L16-Datos!V16)/Datos!V16,(Datos!L16+Datos!AF16-(Datos!V16+Datos!AN16))/(Datos!V16+Datos!AN16))," - ")</f>
        <v>0.39591836734693875</v>
      </c>
      <c r="F16" s="456">
        <f>IF(ISNUMBER((Datos!M16-Datos!W16)/Datos!W16),(Datos!M16-Datos!W16)/Datos!W16," - ")</f>
        <v>1.3928571428571428</v>
      </c>
      <c r="G16" s="457">
        <f>IF(ISNUMBER((Datos!N16-Datos!X16)/Datos!X16),(Datos!N16-Datos!X16)/Datos!X16," - ")</f>
        <v>0.14695340501792115</v>
      </c>
      <c r="H16" s="455">
        <f>IF(ISNUMBER(((NºAsuntos!G16/NºAsuntos!E16)-Datos!BD16)/Datos!BD16),((NºAsuntos!G16/NºAsuntos!E16)-Datos!BD16)/Datos!BD16," - ")</f>
        <v>-0.25277611044417758</v>
      </c>
      <c r="I16" s="456">
        <f>IF(ISNUMBER(((NºAsuntos!I16/NºAsuntos!G16)-Datos!BE16)/Datos!BE16),((NºAsuntos!I16/NºAsuntos!G16)-Datos!BE16)/Datos!BE16," - ")</f>
        <v>0.26374133949191692</v>
      </c>
      <c r="J16" s="461">
        <f>IF(ISNUMBER((('Resol  Asuntos'!D16/NºAsuntos!G16)-Datos!BF16)/Datos!BF16),(('Resol  Asuntos'!D16/NºAsuntos!G16)-Datos!BF16)/Datos!BF16," - ")</f>
        <v>1.1662817551963052</v>
      </c>
      <c r="K16" s="462">
        <f>IF(ISNUMBER((((NºAsuntos!C16+NºAsuntos!E16)/NºAsuntos!G16)-Datos!BG16)/Datos!BG16),(((NºAsuntos!C16+NºAsuntos!E16)/NºAsuntos!G16)-Datos!BG16)/Datos!BG16," - ")</f>
        <v>0.17200522140777191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0.3888888888888889</v>
      </c>
      <c r="C17" s="456">
        <f>IF(ISNUMBER(
   IF(D_I="SI",(Datos!J17-Datos!T17)/Datos!T17,(Datos!J17+Datos!AD17-(Datos!T17+Datos!AL17))/(Datos!T17+Datos!AL17))
     ),IF(D_I="SI",(Datos!J17-Datos!T17)/Datos!T17,(Datos!J17+Datos!AD17-(Datos!T17+Datos!AL17))/(Datos!T17+Datos!AL17))," - ")</f>
        <v>0.16666666666666666</v>
      </c>
      <c r="D17" s="456">
        <f>IF(ISNUMBER(
   IF(D_I="SI",(Datos!K17-Datos!U17)/Datos!U17,(Datos!K17+Datos!AE17-(Datos!U17+Datos!AM17))/(Datos!U17+Datos!AM17))
     ),IF(D_I="SI",(Datos!K17-Datos!U17)/Datos!U17,(Datos!K17+Datos!AE17-(Datos!U17+Datos!AM17))/(Datos!U17+Datos!AM17))," - ")</f>
        <v>0.1</v>
      </c>
      <c r="E17" s="456">
        <f>IF(ISNUMBER(
   IF(D_I="SI",(Datos!L17-Datos!V17)/Datos!V17,(Datos!L17+Datos!AF17-(Datos!V17+Datos!AN17))/(Datos!V17+Datos!AN17))
     ),IF(D_I="SI",(Datos!L17-Datos!V17)/Datos!V17,(Datos!L17+Datos!AF17-(Datos!V17+Datos!AN17))/(Datos!V17+Datos!AN17))," - ")</f>
        <v>0.5</v>
      </c>
      <c r="F17" s="456">
        <f>IF(ISNUMBER((Datos!M17-Datos!W17)/Datos!W17),(Datos!M17-Datos!W17)/Datos!W17," - ")</f>
        <v>0.22222222222222221</v>
      </c>
      <c r="G17" s="457">
        <f>IF(ISNUMBER((Datos!N17-Datos!X17)/Datos!X17),(Datos!N17-Datos!X17)/Datos!X17," - ")</f>
        <v>9.0909090909090912E-2</v>
      </c>
      <c r="H17" s="455">
        <f>IF(ISNUMBER(((NºAsuntos!G17/NºAsuntos!E17)-Datos!BD17)/Datos!BD17),((NºAsuntos!G17/NºAsuntos!E17)-Datos!BD17)/Datos!BD17," - ")</f>
        <v>-5.7142857142857162E-2</v>
      </c>
      <c r="I17" s="456">
        <f>IF(ISNUMBER(((NºAsuntos!I17/NºAsuntos!G17)-Datos!BE17)/Datos!BE17),((NºAsuntos!I17/NºAsuntos!G17)-Datos!BE17)/Datos!BE17," - ")</f>
        <v>0.36363636363636376</v>
      </c>
      <c r="J17" s="461">
        <f>IF(ISNUMBER((('Resol  Asuntos'!D17/NºAsuntos!G17)-Datos!BF17)/Datos!BF17),(('Resol  Asuntos'!D17/NºAsuntos!G17)-Datos!BF17)/Datos!BF17," - ")</f>
        <v>0.11111111111111109</v>
      </c>
      <c r="K17" s="462">
        <f>IF(ISNUMBER((((NºAsuntos!C17+NºAsuntos!E17)/NºAsuntos!G17)-Datos!BG17)/Datos!BG17),(((NºAsuntos!C17+NºAsuntos!E17)/NºAsuntos!G17)-Datos!BG17)/Datos!BG17," - ")</f>
        <v>0.13636363636363627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0.20159151193633953</v>
      </c>
      <c r="C18" s="855">
        <f>IF(ISNUMBER(
   IF(Criterios!B14="SI",(Datos!J18-Datos!T18)/Datos!T18,(Datos!J18+Datos!AD18-(Datos!T18+Datos!AL18))/(Datos!T18+Datos!AL18))
     ),IF(Criterios!B14="SI",(Datos!J18-Datos!T18)/Datos!T18,(Datos!J18+Datos!AD18-(Datos!T18+Datos!AL18))/(Datos!T18+Datos!AL18))," - ")</f>
        <v>0.45605700712589076</v>
      </c>
      <c r="D18" s="855">
        <f>IF(ISNUMBER(
   IF(Criterios!B14="SI",(Datos!K18-Datos!U18)/Datos!U18,(Datos!K18+Datos!AE18-(Datos!U18+Datos!AM18))/(Datos!U18+Datos!AM18))
     ),IF(Criterios!B14="SI",(Datos!K18-Datos!U18)/Datos!U18,(Datos!K18+Datos!AE18-(Datos!U18+Datos!AM18))/(Datos!U18+Datos!AM18))," - ")</f>
        <v>0.10426540284360189</v>
      </c>
      <c r="E18" s="855">
        <f>IF(ISNUMBER(
   IF(Criterios!B14="SI",(Datos!L18-Datos!V18)/Datos!V18,(Datos!L18+Datos!AF18-(Datos!V18+Datos!AN18))/(Datos!V18+Datos!AN18))
     ),IF(Criterios!B14="SI",(Datos!L18-Datos!V18)/Datos!V18,(Datos!L18+Datos!AF18-(Datos!V18+Datos!AN18))/(Datos!V18+Datos!AN18))," - ")</f>
        <v>0.39840637450199201</v>
      </c>
      <c r="F18" s="856">
        <f>IF(ISNUMBER((Datos!M18-Datos!W18)/Datos!W18),(Datos!M18-Datos!W18)/Datos!W18," - ")</f>
        <v>1.1081081081081081</v>
      </c>
      <c r="G18" s="857">
        <f>IF(ISNUMBER((Datos!N18-Datos!X18)/Datos!X18),(Datos!N18-Datos!X18)/Datos!X18," - ")</f>
        <v>0.14482758620689656</v>
      </c>
      <c r="H18" s="857">
        <f>IF(ISNUMBER(((NºAsuntos!G18/NºAsuntos!E18)-Datos!BD18)/Datos!BD18),((NºAsuntos!G18/NºAsuntos!E18)-Datos!BD18)/Datos!BD18," - ")</f>
        <v>-0.24160565318571547</v>
      </c>
      <c r="I18" s="857">
        <f>IF(ISNUMBER(((NºAsuntos!I18/NºAsuntos!G18)-Datos!BE18)/Datos!BE18),((NºAsuntos!I18/NºAsuntos!G18)-Datos!BE18)/Datos!BE18," - ")</f>
        <v>0.26636800437734043</v>
      </c>
      <c r="J18" s="857">
        <f>IF(ISNUMBER((('Resol  Asuntos'!D18/NºAsuntos!G18)-Datos!BF18)/Datos!BF18),(('Resol  Asuntos'!D18/NºAsuntos!G18)-Datos!BF18)/Datos!BF18," - ")</f>
        <v>0.90905927386614072</v>
      </c>
      <c r="K18" s="857">
        <f>IF(ISNUMBER((((NºAsuntos!C18+NºAsuntos!E18)/NºAsuntos!G18)-Datos!BG18)/Datos!BG18),(((NºAsuntos!C18+NºAsuntos!E18)/NºAsuntos!G18)-Datos!BG18)/Datos!BG18," - ")</f>
        <v>0.17070221897543611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0.25183374083129584</v>
      </c>
      <c r="C19" s="802">
        <f>IF(ISNUMBER(
   IF(J_V="SI",(Datos!J19-Datos!T19)/Datos!T19,(Datos!J19+Datos!Z19-(Datos!T19+Datos!AH19))/(Datos!T19+Datos!AH19))
     ),IF(J_V="SI",(Datos!J19-Datos!T19)/Datos!T19,(Datos!J19+Datos!Z19-(Datos!T19+Datos!AH19))/(Datos!T19+Datos!AH19))," - ")</f>
        <v>5.5555555555555552E-2</v>
      </c>
      <c r="D19" s="802">
        <f>IF(ISNUMBER(
   IF(J_V="SI",(Datos!K19-Datos!U19)/Datos!U19,(Datos!K19+Datos!AA19-(Datos!U19+Datos!AI19))/(Datos!U19+Datos!AI19))
     ),IF(J_V="SI",(Datos!K19-Datos!U19)/Datos!U19,(Datos!K19+Datos!AA19-(Datos!U19+Datos!AI19))/(Datos!U19+Datos!AI19))," - ")</f>
        <v>7.2481572481572484E-2</v>
      </c>
      <c r="E19" s="802">
        <f>IF(ISNUMBER(
   IF(J_V="SI",(Datos!L19-Datos!V19)/Datos!V19,(Datos!L19+Datos!AB19-(Datos!V19+Datos!AJ19))/(Datos!V19+Datos!AJ19))
     ),IF(J_V="SI",(Datos!L19-Datos!V19)/Datos!V19,(Datos!L19+Datos!AB19-(Datos!V19+Datos!AJ19))/(Datos!V19+Datos!AJ19))," - ")</f>
        <v>0.2344254730041532</v>
      </c>
      <c r="F19" s="803">
        <f>IF(ISNUMBER((Datos!M19-Datos!W19)/Datos!W19),(Datos!M19-Datos!W19)/Datos!W19," - ")</f>
        <v>0.48113207547169812</v>
      </c>
      <c r="G19" s="804">
        <f>IF(ISNUMBER((Datos!N19-Datos!X19)/Datos!X19),(Datos!N19-Datos!X19)/Datos!X19," - ")</f>
        <v>0.1111111111111111</v>
      </c>
      <c r="H19" s="805">
        <f>IF(ISNUMBER((Tasas!B19-Datos!BD19)/Datos!BD19),(Tasas!B19-Datos!BD19)/Datos!BD19," - ")</f>
        <v>1.6035173929910794E-2</v>
      </c>
      <c r="I19" s="806">
        <f>IF(ISNUMBER((Tasas!C19-Datos!BE19)/Datos!BE19),(Tasas!C19-Datos!BE19)/Datos!BE19," - ")</f>
        <v>0.15099923828795045</v>
      </c>
      <c r="J19" s="807">
        <f>IF(ISNUMBER((Tasas!D19-Datos!BF19)/Datos!BF19),(Tasas!D19-Datos!BF19)/Datos!BF19," - ")</f>
        <v>-0.10738133154527423</v>
      </c>
      <c r="K19" s="807">
        <f>IF(ISNUMBER((Tasas!E19-Datos!BG19)/Datos!BG19),(Tasas!E19-Datos!BG19)/Datos!BG19," - ")</f>
        <v>0.10976697395839928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YLKT5R2ru+tEyoFzMFEIteFKt9lVNIigtK1zYpefAmchKAfqe7Jt+8o2uQvummCRZv71q83QtwsdMOqnsin71A==" saltValue="aP72Jue5+76OilUHqugq/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CORDOBA</v>
      </c>
    </row>
    <row r="4" spans="1:7" ht="11.25" customHeight="1" thickBot="1">
      <c r="B4" s="391" t="str">
        <f>Criterios!A11 &amp;"  "&amp;Criterios!B11</f>
        <v>Resumenes por Partidos Judiciales  MONTORO</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1.088235294117647</v>
      </c>
      <c r="C12" s="443">
        <f>IF(ISNUMBER(NºAsuntos!I12/NºAsuntos!G12),NºAsuntos!I12/NºAsuntos!G12," - ")</f>
        <v>3.9459459459459461</v>
      </c>
      <c r="D12" s="444">
        <f>IF(ISNUMBER('Resol  Asuntos'!D12/NºAsuntos!G12),'Resol  Asuntos'!D12/NºAsuntos!G12," - ")</f>
        <v>0.1941031941031941</v>
      </c>
      <c r="E12" s="445">
        <f>IF(ISNUMBER((NºAsuntos!C12+NºAsuntos!E12)/NºAsuntos!G12),(NºAsuntos!C12+NºAsuntos!E12)/NºAsuntos!G12," - ")</f>
        <v>4.9459459459459456</v>
      </c>
      <c r="G12" s="463"/>
    </row>
    <row r="13" spans="1:7" ht="14.25" thickTop="1" thickBot="1">
      <c r="A13" s="848" t="str">
        <f>Datos!A13</f>
        <v>TOTAL</v>
      </c>
      <c r="B13" s="858">
        <f>IF(ISNUMBER(NºAsuntos!G13/NºAsuntos!E13),NºAsuntos!G13/NºAsuntos!E13," - ")</f>
        <v>1.0853333333333333</v>
      </c>
      <c r="C13" s="859">
        <f>IF(ISNUMBER(NºAsuntos!I13/NºAsuntos!G13),NºAsuntos!I13/NºAsuntos!G13," - ")</f>
        <v>3.9852579852579852</v>
      </c>
      <c r="D13" s="860">
        <f>IF(ISNUMBER('Resol  Asuntos'!D13/NºAsuntos!G13),'Resol  Asuntos'!D13/NºAsuntos!G13," - ")</f>
        <v>0.1941031941031941</v>
      </c>
      <c r="E13" s="861">
        <f>IF(ISNUMBER((NºAsuntos!C13+NºAsuntos!E13)/NºAsuntos!G13),(NºAsuntos!C13+NºAsuntos!E13)/NºAsuntos!G13," - ")</f>
        <v>4.9852579852579852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0.74913494809688586</v>
      </c>
      <c r="C16" s="443">
        <f>IF(ISNUMBER(NºAsuntos!I16/NºAsuntos!G16),NºAsuntos!I16/NºAsuntos!G16," - ")</f>
        <v>2.3695150115473442</v>
      </c>
      <c r="D16" s="444">
        <f>IF(ISNUMBER('Resol  Asuntos'!D16/NºAsuntos!G16),'Resol  Asuntos'!D16/NºAsuntos!G16," - ")</f>
        <v>0.15473441108545036</v>
      </c>
      <c r="E16" s="445">
        <f>IF(ISNUMBER((NºAsuntos!C16+NºAsuntos!E16)/NºAsuntos!G16),(NºAsuntos!C16+NºAsuntos!E16)/NºAsuntos!G16," - ")</f>
        <v>3.3695150115473442</v>
      </c>
      <c r="G16" s="463"/>
    </row>
    <row r="17" spans="1:7" ht="13.5" thickBot="1">
      <c r="A17" s="402" t="str">
        <f>Datos!A17</f>
        <v>Jdos. Violencia contra la mujer</v>
      </c>
      <c r="B17" s="442">
        <f>IF(ISNUMBER(NºAsuntos!G17/NºAsuntos!E17),NºAsuntos!G17/NºAsuntos!E17," - ")</f>
        <v>0.94285714285714284</v>
      </c>
      <c r="C17" s="443">
        <f>IF(ISNUMBER(NºAsuntos!I17/NºAsuntos!G17),NºAsuntos!I17/NºAsuntos!G17," - ")</f>
        <v>0.81818181818181823</v>
      </c>
      <c r="D17" s="444">
        <f>IF(ISNUMBER('Resol  Asuntos'!D17/NºAsuntos!G17),'Resol  Asuntos'!D17/NºAsuntos!G17," - ")</f>
        <v>0.33333333333333331</v>
      </c>
      <c r="E17" s="445">
        <f>IF(ISNUMBER((NºAsuntos!C17+NºAsuntos!E17)/NºAsuntos!G17),(NºAsuntos!C17+NºAsuntos!E17)/NºAsuntos!G17," - ")</f>
        <v>1.8181818181818181</v>
      </c>
      <c r="G17" s="463"/>
    </row>
    <row r="18" spans="1:7" ht="14.25" thickTop="1" thickBot="1">
      <c r="A18" s="848" t="str">
        <f>Datos!A18</f>
        <v>TOTAL</v>
      </c>
      <c r="B18" s="858">
        <f>IF(ISNUMBER(NºAsuntos!G18/NºAsuntos!E18),NºAsuntos!G18/NºAsuntos!E18," - ")</f>
        <v>0.76019575856443722</v>
      </c>
      <c r="C18" s="859">
        <f>IF(ISNUMBER(NºAsuntos!I18/NºAsuntos!G18),NºAsuntos!I18/NºAsuntos!G18," - ")</f>
        <v>2.2596566523605151</v>
      </c>
      <c r="D18" s="862">
        <f>IF(ISNUMBER('Resol  Asuntos'!D18/NºAsuntos!G18),'Resol  Asuntos'!D18/NºAsuntos!G18," - ")</f>
        <v>0.16738197424892703</v>
      </c>
      <c r="E18" s="861">
        <f>IF(ISNUMBER((NºAsuntos!C18+NºAsuntos!E18)/NºAsuntos!G18),(NºAsuntos!C18+NºAsuntos!E18)/NºAsuntos!G18," - ")</f>
        <v>3.2596566523605151</v>
      </c>
      <c r="G18" s="463"/>
    </row>
    <row r="19" spans="1:7" ht="15.75" customHeight="1" thickTop="1" thickBot="1">
      <c r="A19" s="793" t="str">
        <f>Datos!A19</f>
        <v>TOTAL JURISDICCIONES</v>
      </c>
      <c r="B19" s="808">
        <f>IF(ISNUMBER(NºAsuntos!G19/NºAsuntos!E19),NºAsuntos!G19/NºAsuntos!E19," - ")</f>
        <v>0.8836032388663968</v>
      </c>
      <c r="C19" s="809">
        <f>IF(ISNUMBER(NºAsuntos!I19/NºAsuntos!G19),NºAsuntos!I19/NºAsuntos!G19," - ")</f>
        <v>3.064146620847652</v>
      </c>
      <c r="D19" s="810">
        <f>IF(ISNUMBER('Resol  Asuntos'!D19/NºAsuntos!G19),'Resol  Asuntos'!D19/NºAsuntos!G19," - ")</f>
        <v>0.17983963344788087</v>
      </c>
      <c r="E19" s="811">
        <f>IF(ISNUMBER((NºAsuntos!C19+NºAsuntos!E19)/NºAsuntos!G19),(NºAsuntos!C19+NºAsuntos!E19)/NºAsuntos!G19," - ")</f>
        <v>4.0641466208476515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GmZyg5gvVyGuQZ5qZEN8mvqL8zm3FOGezhlftwQUOdFnwQq3oM7CVByXZFvdhxAloymzsQVmme+xGHt8n3uYqQ==" saltValue="3Y7oxgPRbd3AsF0LbIHC3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CORDOBA</v>
      </c>
      <c r="N2" s="262" t="str">
        <f>Criterios!A11 &amp;"  "&amp;Criterios!B11</f>
        <v>Resumenes por Partidos Judiciales  MONTORO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15</v>
      </c>
      <c r="G10" s="333">
        <f>IF(ISNUMBER(Datos!I10),Datos!I10," - ")</f>
        <v>15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16</v>
      </c>
      <c r="AB10" s="334">
        <f>IF(ISNUMBER(Datos!R10),Datos!R10," - ")</f>
        <v>1</v>
      </c>
      <c r="AC10" s="334">
        <f t="shared" ref="AC10:AC12" si="1">IF(ISNUMBER(AA10+AB10),AA10+AB10," - ")</f>
        <v>17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84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36</v>
      </c>
      <c r="Y12" s="334">
        <f t="shared" si="0"/>
        <v>36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2490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79</v>
      </c>
      <c r="AJ12" s="229" t="str">
        <f>IF(ISNUMBER(Datos!BW12),Datos!BW12," - ")</f>
        <v xml:space="preserve"> - </v>
      </c>
      <c r="AK12" s="228" t="str">
        <f>IF(ISNUMBER(Datos!BX12),Datos!BX12," - ")</f>
        <v xml:space="preserve"> - </v>
      </c>
      <c r="AL12" s="243">
        <f>IF(ISNUMBER(NºAsuntos!G12/NºAsuntos!E12),NºAsuntos!G12/NºAsuntos!E12," - ")</f>
        <v>1.088235294117647</v>
      </c>
      <c r="AM12" s="260">
        <f>IF(ISNUMBER(((NºAsuntos!I12/NºAsuntos!G12)*11)/factor_trimestre),((NºAsuntos!I12/NºAsuntos!G12)*11)/factor_trimestre," - ")</f>
        <v>11.837837837837839</v>
      </c>
      <c r="AN12" s="244">
        <f>IF(ISNUMBER('Resol  Asuntos'!D12/NºAsuntos!G12),'Resol  Asuntos'!D12/NºAsuntos!G12," - ")</f>
        <v>0.1941031941031941</v>
      </c>
      <c r="AO12" s="245">
        <f>IF(ISNUMBER((NºAsuntos!C12+NºAsuntos!E12)/NºAsuntos!G12),(NºAsuntos!C12+NºAsuntos!E12)/NºAsuntos!G12," - ")</f>
        <v>4.9459459459459456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15</v>
      </c>
      <c r="G13" s="866">
        <f t="shared" si="3"/>
        <v>15</v>
      </c>
      <c r="H13" s="865">
        <f t="shared" si="3"/>
        <v>0</v>
      </c>
      <c r="I13" s="867">
        <f t="shared" si="3"/>
        <v>0</v>
      </c>
      <c r="J13" s="867">
        <f t="shared" si="3"/>
        <v>0</v>
      </c>
      <c r="K13" s="867">
        <f t="shared" si="3"/>
        <v>0</v>
      </c>
      <c r="L13" s="867">
        <f t="shared" si="3"/>
        <v>84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36</v>
      </c>
      <c r="Y13" s="868">
        <f t="shared" si="4"/>
        <v>36</v>
      </c>
      <c r="Z13" s="868">
        <f t="shared" si="4"/>
        <v>0</v>
      </c>
      <c r="AA13" s="868">
        <f t="shared" si="4"/>
        <v>16</v>
      </c>
      <c r="AB13" s="868">
        <f t="shared" si="4"/>
        <v>2491</v>
      </c>
      <c r="AC13" s="868">
        <f t="shared" si="4"/>
        <v>17</v>
      </c>
      <c r="AD13" s="868">
        <f t="shared" si="4"/>
        <v>0</v>
      </c>
      <c r="AE13" s="872">
        <f t="shared" si="4"/>
        <v>0</v>
      </c>
      <c r="AF13" s="865">
        <f t="shared" si="4"/>
        <v>0</v>
      </c>
      <c r="AG13" s="873">
        <f t="shared" si="4"/>
        <v>0</v>
      </c>
      <c r="AH13" s="870">
        <f t="shared" si="4"/>
        <v>0</v>
      </c>
      <c r="AI13" s="865">
        <f t="shared" si="4"/>
        <v>79</v>
      </c>
      <c r="AJ13" s="867">
        <f t="shared" si="4"/>
        <v>0</v>
      </c>
      <c r="AK13" s="870">
        <f>SUBTOTAL(9,AK9:AK12)</f>
        <v>0</v>
      </c>
      <c r="AL13" s="874">
        <f>IF(ISNUMBER(NºAsuntos!G13/NºAsuntos!E13),NºAsuntos!G13/NºAsuntos!E13," - ")</f>
        <v>1.0853333333333333</v>
      </c>
      <c r="AM13" s="874">
        <f>IF(ISNUMBER(((NºAsuntos!I13/NºAsuntos!G13)*11)/factor_trimestre),((NºAsuntos!I13/NºAsuntos!G13)*11)/factor_trimestre," - ")</f>
        <v>11.955773955773957</v>
      </c>
      <c r="AN13" s="875">
        <f>IF(ISNUMBER('Resol  Asuntos'!D13/NºAsuntos!G13),'Resol  Asuntos'!D13/NºAsuntos!G13," - ")</f>
        <v>0.1941031941031941</v>
      </c>
      <c r="AO13" s="876">
        <f>IF(ISNUMBER((NºAsuntos!C13+NºAsuntos!E13)/NºAsuntos!G13),(NºAsuntos!C13+NºAsuntos!E13)/NºAsuntos!G13," - ")</f>
        <v>4.9852579852579852</v>
      </c>
      <c r="AP13" s="877" t="str">
        <f t="shared" si="2"/>
        <v xml:space="preserve"> - </v>
      </c>
      <c r="AQ13" s="877">
        <f>IF(ISNUMBER((H13-W13+K13)/(F13)),(H13-W13+K13)/(F13)," - ")</f>
        <v>0</v>
      </c>
      <c r="AR13" s="878">
        <f>IF(ISNUMBER((Datos!P13-Datos!Q13)/(Datos!R13-Datos!P13+Datos!Q13)),(Datos!P13-Datos!Q13)/(Datos!R13-Datos!P13+Datos!Q13)," - ")</f>
        <v>1.9647973802701595E-2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881</v>
      </c>
      <c r="G16" s="333">
        <f>IF(ISNUMBER(IF(D_I="SI",Datos!I16,Datos!I16+Datos!AC16)),IF(D_I="SI",Datos!I16,Datos!I16+Datos!AC16)," - ")</f>
        <v>881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433</v>
      </c>
      <c r="X16" s="226">
        <f>IF(ISNUMBER(Datos!Q16),Datos!Q16," - ")</f>
        <v>4</v>
      </c>
      <c r="Y16" s="334">
        <f t="shared" ref="Y16:Y17" si="7">SUM(W16:X16)</f>
        <v>437</v>
      </c>
      <c r="Z16" s="335" t="str">
        <f>IF(ISNUMBER(Datos!CC16),Datos!CC16," - ")</f>
        <v xml:space="preserve"> - </v>
      </c>
      <c r="AA16" s="332">
        <f>IF(ISNUMBER(IF(D_I="SI",Datos!L16,Datos!L16+Datos!AF16)),IF(D_I="SI",Datos!L16,Datos!L16+Datos!AF16)," - ")</f>
        <v>1026</v>
      </c>
      <c r="AB16" s="334">
        <f>IF(ISNUMBER(Datos!R16),Datos!R16," - ")</f>
        <v>51</v>
      </c>
      <c r="AC16" s="334">
        <f t="shared" si="6"/>
        <v>1077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67</v>
      </c>
      <c r="AJ16" s="231" t="str">
        <f>IF(ISNUMBER(Datos!BW16),Datos!BW16," - ")</f>
        <v xml:space="preserve"> - </v>
      </c>
      <c r="AK16" s="232" t="str">
        <f>IF(ISNUMBER(Datos!BX16),Datos!BX16," - ")</f>
        <v xml:space="preserve"> - </v>
      </c>
      <c r="AL16" s="243">
        <f>IF(ISNUMBER(NºAsuntos!G16/NºAsuntos!E16),NºAsuntos!G16/NºAsuntos!E16," - ")</f>
        <v>0.74913494809688586</v>
      </c>
      <c r="AM16" s="260">
        <f>IF(ISNUMBER(((NºAsuntos!I16/NºAsuntos!G16)*11)/factor_trimestre),((NºAsuntos!I16/NºAsuntos!G16)*11)/factor_trimestre," - ")</f>
        <v>7.1085450346420336</v>
      </c>
      <c r="AN16" s="244">
        <f>IF(ISNUMBER('Resol  Asuntos'!D16/NºAsuntos!G16),'Resol  Asuntos'!D16/NºAsuntos!G16," - ")</f>
        <v>0.15473441108545036</v>
      </c>
      <c r="AO16" s="245">
        <f>IF(ISNUMBER((NºAsuntos!C16+NºAsuntos!E16)/NºAsuntos!G16),(NºAsuntos!C16+NºAsuntos!E16)/NºAsuntos!G16," - ")</f>
        <v>3.3695150115473442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33</v>
      </c>
      <c r="X17" s="226">
        <f>IF(ISNUMBER(Datos!Q17),Datos!Q17," - ")</f>
        <v>0</v>
      </c>
      <c r="Y17" s="334">
        <f t="shared" si="7"/>
        <v>33</v>
      </c>
      <c r="Z17" s="335" t="str">
        <f>IF(ISNUMBER(Datos!CC17),Datos!CC17," - ")</f>
        <v xml:space="preserve"> - </v>
      </c>
      <c r="AA17" s="332">
        <f>IF(ISNUMBER(Datos!L17),Datos!L17,"-")</f>
        <v>27</v>
      </c>
      <c r="AB17" s="334">
        <f>IF(ISNUMBER(Datos!R17),Datos!R17," - ")</f>
        <v>0</v>
      </c>
      <c r="AC17" s="334">
        <f t="shared" si="6"/>
        <v>27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11</v>
      </c>
      <c r="AJ17" s="231" t="str">
        <f>IF(ISNUMBER(Datos!BW17),Datos!BW17," - ")</f>
        <v xml:space="preserve"> - </v>
      </c>
      <c r="AK17" s="232" t="str">
        <f>IF(ISNUMBER(Datos!BX17),Datos!BX17," - ")</f>
        <v xml:space="preserve"> - </v>
      </c>
      <c r="AL17" s="243">
        <f>IF(ISNUMBER(NºAsuntos!G17/NºAsuntos!E17),NºAsuntos!G17/NºAsuntos!E17," - ")</f>
        <v>0.94285714285714284</v>
      </c>
      <c r="AM17" s="260">
        <f>IF(ISNUMBER(((NºAsuntos!I17/NºAsuntos!G17)*11)/factor_trimestre),((NºAsuntos!I17/NºAsuntos!G17)*11)/factor_trimestre," - ")</f>
        <v>2.4545454545454546</v>
      </c>
      <c r="AN17" s="244">
        <f>IF(ISNUMBER('Resol  Asuntos'!D17/NºAsuntos!G17),'Resol  Asuntos'!D17/NºAsuntos!G17," - ")</f>
        <v>0.33333333333333331</v>
      </c>
      <c r="AO17" s="245">
        <f>IF(ISNUMBER((NºAsuntos!C17+NºAsuntos!E17)/NºAsuntos!G17),(NºAsuntos!C17+NºAsuntos!E17)/NºAsuntos!G17," - ")</f>
        <v>1.8181818181818181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881</v>
      </c>
      <c r="G18" s="866">
        <f>SUBTOTAL(9,G15:G17)</f>
        <v>906</v>
      </c>
      <c r="H18" s="865">
        <f t="shared" ref="H18:O18" si="10">SUBTOTAL(9,H14:H17)</f>
        <v>0</v>
      </c>
      <c r="I18" s="867">
        <f t="shared" si="10"/>
        <v>0</v>
      </c>
      <c r="J18" s="867">
        <f t="shared" si="10"/>
        <v>0</v>
      </c>
      <c r="K18" s="867">
        <f t="shared" si="10"/>
        <v>0</v>
      </c>
      <c r="L18" s="867">
        <f t="shared" si="10"/>
        <v>15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466</v>
      </c>
      <c r="X18" s="867">
        <f t="shared" si="11"/>
        <v>4</v>
      </c>
      <c r="Y18" s="868">
        <f t="shared" si="11"/>
        <v>470</v>
      </c>
      <c r="Z18" s="868">
        <f t="shared" si="11"/>
        <v>0</v>
      </c>
      <c r="AA18" s="868">
        <f t="shared" si="11"/>
        <v>1053</v>
      </c>
      <c r="AB18" s="868">
        <f t="shared" si="11"/>
        <v>51</v>
      </c>
      <c r="AC18" s="868">
        <f t="shared" si="11"/>
        <v>1104</v>
      </c>
      <c r="AD18" s="868">
        <f t="shared" si="11"/>
        <v>0</v>
      </c>
      <c r="AE18" s="872">
        <f t="shared" si="11"/>
        <v>0</v>
      </c>
      <c r="AF18" s="865">
        <f t="shared" si="11"/>
        <v>0</v>
      </c>
      <c r="AG18" s="873">
        <f t="shared" si="11"/>
        <v>0</v>
      </c>
      <c r="AH18" s="870">
        <f t="shared" si="11"/>
        <v>0</v>
      </c>
      <c r="AI18" s="865">
        <f t="shared" si="11"/>
        <v>78</v>
      </c>
      <c r="AJ18" s="867">
        <f t="shared" si="11"/>
        <v>0</v>
      </c>
      <c r="AK18" s="870">
        <f t="shared" si="11"/>
        <v>0</v>
      </c>
      <c r="AL18" s="874">
        <f>IF(ISNUMBER(NºAsuntos!G18/NºAsuntos!E18),NºAsuntos!G18/NºAsuntos!E18," - ")</f>
        <v>0.76019575856443722</v>
      </c>
      <c r="AM18" s="874">
        <f>IF(ISNUMBER(((NºAsuntos!I18/NºAsuntos!G18)*11)/factor_trimestre),((NºAsuntos!I18/NºAsuntos!G18)*11)/factor_trimestre," - ")</f>
        <v>6.7789699570815456</v>
      </c>
      <c r="AN18" s="875">
        <f>IF(ISNUMBER('Resol  Asuntos'!D18/NºAsuntos!G18),'Resol  Asuntos'!D18/NºAsuntos!G18," - ")</f>
        <v>0.16738197424892703</v>
      </c>
      <c r="AO18" s="876">
        <f>IF(ISNUMBER((NºAsuntos!C18+NºAsuntos!E18)/NºAsuntos!G18),(NºAsuntos!C18+NºAsuntos!E18)/NºAsuntos!G18," - ")</f>
        <v>3.2596566523605151</v>
      </c>
      <c r="AP18" s="877" t="str">
        <f t="shared" si="2"/>
        <v xml:space="preserve"> - </v>
      </c>
      <c r="AQ18" s="877">
        <f>IF(ISNUMBER((H18-W18+K18)/(F18)),(H18-W18+K18)/(F18)," - ")</f>
        <v>-0.52894438138479005</v>
      </c>
      <c r="AR18" s="878">
        <f>IF(ISNUMBER((Datos!P18-Datos!Q18)/(Datos!R18-Datos!P18+Datos!Q18)),(Datos!P18-Datos!Q18)/(Datos!R18-Datos!P18+Datos!Q18)," - ")</f>
        <v>0.27500000000000002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896</v>
      </c>
      <c r="G19" s="821">
        <f t="shared" si="13"/>
        <v>921</v>
      </c>
      <c r="H19" s="820">
        <f t="shared" si="13"/>
        <v>0</v>
      </c>
      <c r="I19" s="822">
        <f t="shared" si="13"/>
        <v>0</v>
      </c>
      <c r="J19" s="822">
        <f t="shared" si="13"/>
        <v>0</v>
      </c>
      <c r="K19" s="881">
        <f t="shared" si="13"/>
        <v>0</v>
      </c>
      <c r="L19" s="822">
        <f t="shared" si="13"/>
        <v>99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466</v>
      </c>
      <c r="X19" s="821">
        <f t="shared" si="14"/>
        <v>40</v>
      </c>
      <c r="Y19" s="828">
        <f t="shared" si="14"/>
        <v>506</v>
      </c>
      <c r="Z19" s="828">
        <f t="shared" si="14"/>
        <v>0</v>
      </c>
      <c r="AA19" s="828">
        <f t="shared" si="14"/>
        <v>1069</v>
      </c>
      <c r="AB19" s="828">
        <f t="shared" si="14"/>
        <v>2542</v>
      </c>
      <c r="AC19" s="828">
        <f t="shared" si="14"/>
        <v>1121</v>
      </c>
      <c r="AD19" s="828">
        <f t="shared" si="14"/>
        <v>0</v>
      </c>
      <c r="AE19" s="830">
        <f t="shared" si="14"/>
        <v>0</v>
      </c>
      <c r="AF19" s="831">
        <f t="shared" si="14"/>
        <v>0</v>
      </c>
      <c r="AG19" s="832">
        <f t="shared" si="14"/>
        <v>0</v>
      </c>
      <c r="AH19" s="830">
        <f t="shared" si="14"/>
        <v>0</v>
      </c>
      <c r="AI19" s="820">
        <f t="shared" si="14"/>
        <v>157</v>
      </c>
      <c r="AJ19" s="820">
        <f t="shared" si="14"/>
        <v>0</v>
      </c>
      <c r="AK19" s="830">
        <f t="shared" si="14"/>
        <v>0</v>
      </c>
      <c r="AL19" s="884">
        <f>IF(ISNUMBER(NºAsuntos!G19/NºAsuntos!E19),NºAsuntos!G19/NºAsuntos!E19," - ")</f>
        <v>0.8836032388663968</v>
      </c>
      <c r="AM19" s="885">
        <f>IF(ISNUMBER(((NºAsuntos!I19/NºAsuntos!G19)*11)/factor_trimestre),((NºAsuntos!I19/NºAsuntos!G19)*11)/factor_trimestre," - ")</f>
        <v>9.1924398625429564</v>
      </c>
      <c r="AN19" s="885">
        <f>IF(ISNUMBER('Resol  Asuntos'!D19/NºAsuntos!G19),'Resol  Asuntos'!D19/NºAsuntos!G19," - ")</f>
        <v>0.17983963344788087</v>
      </c>
      <c r="AO19" s="886">
        <f>IF(ISNUMBER((NºAsuntos!C19+NºAsuntos!E19)/NºAsuntos!G19),(NºAsuntos!C19+NºAsuntos!E19)/NºAsuntos!G19," - ")</f>
        <v>4.0641466208476515</v>
      </c>
      <c r="AP19" s="887" t="str">
        <f t="shared" si="2"/>
        <v xml:space="preserve"> - </v>
      </c>
      <c r="AQ19" s="888">
        <f>IF(OR(ISNUMBER(FIND("01",Criterios!A8,1)),ISNUMBER(FIND("02",Criterios!A8,1)),ISNUMBER(FIND("03",Criterios!A8,1)),ISNUMBER(FIND("04",Criterios!A8,1))),(I19-W19+K19)/(F19-K19),(H19-W19+K19)/(F19-K19))</f>
        <v>-0.5200892857142857</v>
      </c>
      <c r="AR19" s="889">
        <f>IF(ISNUMBER((Datos!P19-Datos!Q19)/(Datos!R19-Datos!P19+Datos!Q19)),(Datos!P19-Datos!Q19)/(Datos!R19-Datos!P19+Datos!Q19)," - ")</f>
        <v>2.3761578735400725E-2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368.4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499.98533311821592</v>
      </c>
      <c r="G21" s="253">
        <f>IF(ISNUMBER(STDEV(G8:G18)),STDEV(G8:G18),"-")</f>
        <v>479.44739023171246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240.83666664359893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36.72419729097787</v>
      </c>
      <c r="AJ21" s="252">
        <f t="shared" si="18"/>
        <v>0</v>
      </c>
      <c r="AK21" s="254">
        <f t="shared" si="18"/>
        <v>0</v>
      </c>
      <c r="AL21" s="249">
        <f t="shared" si="18"/>
        <v>0.40595919895309351</v>
      </c>
      <c r="AM21" s="250">
        <f t="shared" si="18"/>
        <v>3.9815555347143485</v>
      </c>
      <c r="AN21" s="250">
        <f t="shared" si="18"/>
        <v>7.1727017970122334E-2</v>
      </c>
      <c r="AO21" s="251">
        <f t="shared" si="18"/>
        <v>1.3271851782381143</v>
      </c>
      <c r="AP21" s="291" t="str">
        <f t="shared" si="18"/>
        <v>-</v>
      </c>
      <c r="AQ21" s="292">
        <f t="shared" si="18"/>
        <v>0.37402015894770846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9cSZBhezFUyMHc/LNWqzWTNAYPzOUvW33uQl0WArIq5F5RK3Z7ucLVNUIYYEaFsN13q/++duUThAXoDAO4ActA==" saltValue="/cHmJmYeo9ZTCt41VycDC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CORDOBA</v>
      </c>
      <c r="E3" s="263"/>
    </row>
    <row r="4" spans="2:20" ht="17.25" customHeight="1" thickBot="1">
      <c r="D4" s="262" t="str">
        <f>Criterios!A11 &amp;"  "&amp;Criterios!B11</f>
        <v>Resumenes por Partidos Judiciales  MONTORO</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0.875</v>
      </c>
      <c r="E10" s="348">
        <f>IF(ISNUMBER((Datos!J10-Datos!T10)/Datos!T10),(Datos!J10-Datos!T10)/Datos!T10," - ")</f>
        <v>0</v>
      </c>
      <c r="F10" s="348">
        <f>IF(ISNUMBER((Datos!K10-Datos!U10)/Datos!U10),(Datos!K10-Datos!U10)/Datos!U10," - ")</f>
        <v>-1</v>
      </c>
      <c r="G10" s="349">
        <f>IF(ISNUMBER((Datos!L10-Datos!V10)/Datos!V10),(Datos!L10-Datos!V10)/Datos!V10," - ")</f>
        <v>1.6666666666666667</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0.19696969696969696</v>
      </c>
      <c r="I12" s="350">
        <f>IF(ISNUMBER((Tasas!C12-Datos!BE12)/Datos!BE12),(Tasas!C12-Datos!BE12)/Datos!BE12," - ")</f>
        <v>9.0179668304668392E-2</v>
      </c>
      <c r="J12" s="349">
        <f>IF(ISNUMBER((Tasas!D12-Datos!BF12)/Datos!BF12),(Tasas!D12-Datos!BF12)/Datos!BF12," - ")</f>
        <v>-0.39107949591820557</v>
      </c>
      <c r="K12" s="351">
        <f>IF(ISNUMBER((Tasas!E12-Datos!BG12)/Datos!BG12),(Tasas!E12-Datos!BG12)/Datos!BG12," - ")</f>
        <v>7.0658304381175707E-2</v>
      </c>
      <c r="M12" t="e">
        <f>IF(Monitorios="SI",Datos!CE12,0)</f>
        <v>#REF!</v>
      </c>
      <c r="N12" t="e">
        <f>IF(Monitorios="SI",Datos!CF12,0)</f>
        <v>#REF!</v>
      </c>
      <c r="O12" t="e">
        <f>IF(Monitorios="SI",Datos!CG12,0)</f>
        <v>#REF!</v>
      </c>
      <c r="P12" t="e">
        <f>IF(Monitorios="SI",Datos!CH12,0)</f>
        <v>#REF!</v>
      </c>
      <c r="Q12">
        <f>IF(J_V="SI",0,Datos!AG12)</f>
        <v>58</v>
      </c>
      <c r="R12">
        <f>IF(J_V="SI",0,Datos!AH12)</f>
        <v>24</v>
      </c>
      <c r="S12">
        <f>IF(J_V="SI",0,Datos!AI12)</f>
        <v>23</v>
      </c>
      <c r="T12">
        <f>IF(J_V="SI",0,Datos!AJ12)</f>
        <v>59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0.14492753623188406</v>
      </c>
      <c r="I13" s="357">
        <f>IF(ISNUMBER((Tasas!C13-Datos!BE13)/Datos!BE13),(Tasas!C13-Datos!BE13)/Datos!BE13," - ")</f>
        <v>0.1048239959131048</v>
      </c>
      <c r="J13" s="355">
        <f>IF(ISNUMBER((Tasas!D13-Datos!BF13)/Datos!BF13),(Tasas!D13-Datos!BF13)/Datos!BF13," - ")</f>
        <v>-0.40087833001218831</v>
      </c>
      <c r="K13" s="358">
        <f>IF(ISNUMBER((Tasas!E13-Datos!BG13)/Datos!BG13),(Tasas!E13-Datos!BG13)/Datos!BG13," - ")</f>
        <v>8.2071500676151932E-2</v>
      </c>
      <c r="M13" t="e">
        <f>IF(Monitorios="SI",Datos!CE13,0)</f>
        <v>#REF!</v>
      </c>
      <c r="N13" t="e">
        <f>IF(Monitorios="SI",Datos!CF13,0)</f>
        <v>#REF!</v>
      </c>
      <c r="O13" t="e">
        <f>IF(Monitorios="SI",Datos!CG13,0)</f>
        <v>#REF!</v>
      </c>
      <c r="P13" t="e">
        <f>IF(Monitorios="SI",Datos!CH13,0)</f>
        <v>#REF!</v>
      </c>
      <c r="Q13">
        <f>IF(J_V="SI",0,Datos!AG13)</f>
        <v>58</v>
      </c>
      <c r="R13">
        <f>IF(J_V="SI",0,Datos!AH13)</f>
        <v>24</v>
      </c>
      <c r="S13">
        <f>IF(J_V="SI",0,Datos!AI13)</f>
        <v>23</v>
      </c>
      <c r="T13">
        <f>IF(J_V="SI",0,Datos!AJ13)</f>
        <v>59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0.19701086956521738</v>
      </c>
      <c r="E16" s="348">
        <f>IF(ISNUMBER(
   IF(D_I="SI",(Datos!J16-Datos!T16)/Datos!T16,(Datos!J16+Datos!AD16-(Datos!T16+Datos!AL16))/(Datos!T16+Datos!AL16))
     ),IF(D_I="SI",(Datos!J16-Datos!T16)/Datos!T16,(Datos!J16+Datos!AD16-(Datos!T16+Datos!AL16))/(Datos!T16+Datos!AL16))," - ")</f>
        <v>0.47826086956521741</v>
      </c>
      <c r="F16" s="348">
        <f>IF(ISNUMBER(
   IF(D_I="SI",(Datos!K16-Datos!U16)/Datos!U16,(Datos!K16+Datos!AE16-(Datos!U16+Datos!AM16))/(Datos!U16+Datos!AM16))
     ),IF(D_I="SI",(Datos!K16-Datos!U16)/Datos!U16,(Datos!K16+Datos!AE16-(Datos!U16+Datos!AM16))/(Datos!U16+Datos!AM16))," - ")</f>
        <v>0.10459183673469388</v>
      </c>
      <c r="G16" s="349">
        <f>IF(ISNUMBER(
   IF(D_I="SI",(Datos!L16-Datos!V16)/Datos!V16,(Datos!L16+Datos!AF16-(Datos!V16+Datos!AN16))/(Datos!V16+Datos!AN16))
     ),IF(D_I="SI",(Datos!L16-Datos!V16)/Datos!V16,(Datos!L16+Datos!AF16-(Datos!V16+Datos!AN16))/(Datos!V16+Datos!AN16))," - ")</f>
        <v>0.39591836734693875</v>
      </c>
      <c r="H16" s="230">
        <f>IF(ISNUMBER((Datos!M16-Datos!W16)/Datos!W16),(Datos!M16-Datos!W16)/Datos!W16," - ")</f>
        <v>1.3928571428571428</v>
      </c>
      <c r="I16" s="350">
        <f>IF(ISNUMBER((Tasas!C16-Datos!BE16)/Datos!BE16),(Tasas!C16-Datos!BE16)/Datos!BE16," - ")</f>
        <v>0.26374133949191692</v>
      </c>
      <c r="J16" s="349">
        <f>IF(ISNUMBER((Tasas!D16-Datos!BF16)/Datos!BF16),(Tasas!D16-Datos!BF16)/Datos!BF16," - ")</f>
        <v>1.1662817551963052</v>
      </c>
      <c r="K16" s="351">
        <f>IF(ISNUMBER((Tasas!E16-Datos!BG16)/Datos!BG16),(Tasas!E16-Datos!BG16)/Datos!BG16," - ")</f>
        <v>0.17200522140777191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0.3888888888888889</v>
      </c>
      <c r="E17" s="348">
        <f>IF(ISNUMBER(
   IF(D_I="SI",(Datos!J17-Datos!T17)/Datos!T17,(Datos!J17+Datos!AD17-(Datos!T17+Datos!AL17))/(Datos!T17+Datos!AL17))
     ),IF(D_I="SI",(Datos!J17-Datos!T17)/Datos!T17,(Datos!J17+Datos!AD17-(Datos!T17+Datos!AL17))/(Datos!T17+Datos!AL17))," - ")</f>
        <v>0.16666666666666666</v>
      </c>
      <c r="F17" s="348">
        <f>IF(ISNUMBER(
   IF(D_I="SI",(Datos!K17-Datos!U17)/Datos!U17,(Datos!K17+Datos!AE17-(Datos!U17+Datos!AM17))/(Datos!U17+Datos!AM17))
     ),IF(D_I="SI",(Datos!K17-Datos!U17)/Datos!U17,(Datos!K17+Datos!AE17-(Datos!U17+Datos!AM17))/(Datos!U17+Datos!AM17))," - ")</f>
        <v>0.1</v>
      </c>
      <c r="G17" s="349">
        <f>IF(ISNUMBER(
   IF(D_I="SI",(Datos!L17-Datos!V17)/Datos!V17,(Datos!L17+Datos!AF17-(Datos!V17+Datos!AN17))/(Datos!V17+Datos!AN17))
     ),IF(D_I="SI",(Datos!L17-Datos!V17)/Datos!V17,(Datos!L17+Datos!AF17-(Datos!V17+Datos!AN17))/(Datos!V17+Datos!AN17))," - ")</f>
        <v>0.5</v>
      </c>
      <c r="H17" s="230">
        <f>IF(ISNUMBER((Datos!M17-Datos!W17)/Datos!W17),(Datos!M17-Datos!W17)/Datos!W17," - ")</f>
        <v>0.22222222222222221</v>
      </c>
      <c r="I17" s="350">
        <f>IF(ISNUMBER((Tasas!C17-Datos!BE17)/Datos!BE17),(Tasas!C17-Datos!BE17)/Datos!BE17," - ")</f>
        <v>0.36363636363636376</v>
      </c>
      <c r="J17" s="349">
        <f>IF(ISNUMBER((Tasas!D17-Datos!BF17)/Datos!BF17),(Tasas!D17-Datos!BF17)/Datos!BF17," - ")</f>
        <v>0.11111111111111109</v>
      </c>
      <c r="K17" s="351">
        <f>IF(ISNUMBER((Tasas!E17-Datos!BG17)/Datos!BG17),(Tasas!E17-Datos!BG17)/Datos!BG17," - ")</f>
        <v>0.13636363636363627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0.20159151193633953</v>
      </c>
      <c r="E18" s="354">
        <f>IF(ISNUMBER(
   IF(D_I="SI",(Datos!J18-Datos!T18)/Datos!T18,(Datos!J18+Datos!AD18-(Datos!T18+Datos!AL18))/(Datos!T18+Datos!AL18))
     ),IF(D_I="SI",(Datos!J18-Datos!T18)/Datos!T18,(Datos!J18+Datos!AD18-(Datos!T18+Datos!AL18))/(Datos!T18+Datos!AL18))," - ")</f>
        <v>0.45605700712589076</v>
      </c>
      <c r="F18" s="354">
        <f>IF(ISNUMBER(
   IF(D_I="SI",(Datos!K18-Datos!U18)/Datos!U18,(Datos!K18+Datos!AE18-(Datos!U18+Datos!AM18))/(Datos!U18+Datos!AM18))
     ),IF(D_I="SI",(Datos!K18-Datos!U18)/Datos!U18,(Datos!K18+Datos!AE18-(Datos!U18+Datos!AM18))/(Datos!U18+Datos!AM18))," - ")</f>
        <v>0.10426540284360189</v>
      </c>
      <c r="G18" s="355">
        <f>IF(ISNUMBER(
   IF(D_I="SI",(Datos!L18-Datos!V18)/Datos!V18,(Datos!L18+Datos!AF18-(Datos!V18+Datos!AN18))/(Datos!V18+Datos!AN18))
     ),IF(D_I="SI",(Datos!L18-Datos!V18)/Datos!V18,(Datos!L18+Datos!AF18-(Datos!V18+Datos!AN18))/(Datos!V18+Datos!AN18))," - ")</f>
        <v>0.39840637450199201</v>
      </c>
      <c r="H18" s="356">
        <f>IF(ISNUMBER((Datos!M18-Datos!W18)/Datos!W18),(Datos!M18-Datos!W18)/Datos!W18," - ")</f>
        <v>1.1081081081081081</v>
      </c>
      <c r="I18" s="357">
        <f>IF(ISNUMBER((Tasas!C18-Datos!BE18)/Datos!BE18),(Tasas!C18-Datos!BE18)/Datos!BE18," - ")</f>
        <v>0.26636800437734043</v>
      </c>
      <c r="J18" s="355">
        <f>IF(ISNUMBER((Tasas!D18-Datos!BF18)/Datos!BF18),(Tasas!D18-Datos!BF18)/Datos!BF18," - ")</f>
        <v>0.90905927386614072</v>
      </c>
      <c r="K18" s="358">
        <f>IF(ISNUMBER((Tasas!E18-Datos!BG18)/Datos!BG18),(Tasas!E18-Datos!BG18)/Datos!BG18," - ")</f>
        <v>0.17070221897543611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0.25183374083129584</v>
      </c>
      <c r="E19" s="363">
        <f>IF(ISNUMBER(
   IF(J_V="SI",(Datos!J19-Datos!T19)/Datos!T19,(Datos!J19+Datos!Z19-(Datos!T19+Datos!AH19))/(Datos!T19+Datos!AH19))
     ),IF(J_V="SI",(Datos!J19-Datos!T19)/Datos!T19,(Datos!J19+Datos!Z19-(Datos!T19+Datos!AH19))/(Datos!T19+Datos!AH19))," - ")</f>
        <v>5.5555555555555552E-2</v>
      </c>
      <c r="F19" s="363">
        <f>IF(ISNUMBER(
   IF(J_V="SI",(Datos!K19-Datos!U19)/Datos!U19,(Datos!K19+Datos!AA19-(Datos!U19+Datos!AI19))/(Datos!U19+Datos!AI19))
     ),IF(J_V="SI",(Datos!K19-Datos!U19)/Datos!U19,(Datos!K19+Datos!AA19-(Datos!U19+Datos!AI19))/(Datos!U19+Datos!AI19))," - ")</f>
        <v>7.2481572481572484E-2</v>
      </c>
      <c r="G19" s="364">
        <f>IF(ISNUMBER(
   IF(J_V="SI",(Datos!L19-Datos!V19)/Datos!V19,(Datos!L19+Datos!AB19-(Datos!V19+Datos!AJ19))/(Datos!V19+Datos!AJ19))
     ),IF(J_V="SI",(Datos!L19-Datos!V19)/Datos!V19,(Datos!L19+Datos!AB19-(Datos!V19+Datos!AJ19))/(Datos!V19+Datos!AJ19))," - ")</f>
        <v>0.2344254730041532</v>
      </c>
      <c r="H19" s="365">
        <f>IF(ISNUMBER((Datos!M19-Datos!W19)/Datos!W19),(Datos!M19-Datos!W19)/Datos!W19," - ")</f>
        <v>0.48113207547169812</v>
      </c>
      <c r="I19" s="362">
        <f>IF(ISNUMBER((Tasas!C19-Datos!BE19)/Datos!BE19),(Tasas!C19-Datos!BE19)/Datos!BE19," - ")</f>
        <v>0.15099923828795045</v>
      </c>
      <c r="J19" s="363">
        <f>IF(ISNUMBER((Tasas!D19-Datos!BF19)/Datos!BF19),(Tasas!D19-Datos!BF19)/Datos!BF19," - ")</f>
        <v>-0.10738133154527423</v>
      </c>
      <c r="K19" s="364">
        <f>IF(ISNUMBER((Tasas!E19-Datos!BG19)/Datos!BG19),(Tasas!E19-Datos!BG19)/Datos!BG19," - ")</f>
        <v>0.10976697395839928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0.31903118044152962</v>
      </c>
      <c r="E21" s="278">
        <f t="shared" si="1"/>
        <v>0.2319895757036643</v>
      </c>
      <c r="F21" s="278">
        <f t="shared" si="1"/>
        <v>0.55148017423440898</v>
      </c>
      <c r="G21" s="279">
        <f t="shared" si="1"/>
        <v>0.61951304540971786</v>
      </c>
      <c r="H21" s="285">
        <f t="shared" si="1"/>
        <v>0.84455620226263139</v>
      </c>
      <c r="I21" s="277">
        <f t="shared" si="1"/>
        <v>0.11703441446936524</v>
      </c>
      <c r="J21" s="278">
        <f t="shared" si="1"/>
        <v>0.72864108174530129</v>
      </c>
      <c r="K21" s="279">
        <f t="shared" si="1"/>
        <v>4.7994638837429125E-2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0KluKpNRXNqqEx3JZO+kBtHhhtcaM4XZf11/kix96nr6BO3uYaS1gAZC8jEmt7L6lZG3z0vgLEuTDIbtarkQSQ==" saltValue="w9itTkHlLvIRS6G3gvaHH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2024-09-24T12:40:14Z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